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2"/>
  </bookViews>
  <sheets>
    <sheet name="Summary" sheetId="1" state="visible" r:id="rId3"/>
    <sheet name="Schematic Analysis" sheetId="2" state="visible" r:id="rId4"/>
    <sheet name="Sheet1" sheetId="3" state="visible" r:id="rId5"/>
    <sheet name="10 ft Animal Enterprise" sheetId="4" state="visible" r:id="rId6"/>
    <sheet name="15 Ft Animal Enterprise" sheetId="5" state="visible" r:id="rId7"/>
    <sheet name="20 ft Animal Enterprise" sheetId="6" state="visible" r:id="rId8"/>
    <sheet name="CornSoy Enterprise" sheetId="7" state="visible" r:id="rId9"/>
    <sheet name="Perenial Enterprise" sheetId="8" state="visible" r:id="rId10"/>
    <sheet name="Sheldons" sheetId="9" state="visible" r:id="rId11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<sst xmlns="http://schemas.openxmlformats.org/spreadsheetml/2006/main" count="416" uniqueCount="175">
  <si>
    <t xml:space="preserve">Stock Cropper Enterprise Analysis</t>
  </si>
  <si>
    <t xml:space="preserve">Field Size (Acres)</t>
  </si>
  <si>
    <t xml:space="preserve">Enterprise</t>
  </si>
  <si>
    <t xml:space="preserve">Expense</t>
  </si>
  <si>
    <t xml:space="preserve">Revenue</t>
  </si>
  <si>
    <t xml:space="preserve">Net/A </t>
  </si>
  <si>
    <t xml:space="preserve">Corn Acre</t>
  </si>
  <si>
    <t xml:space="preserve">Soy Acre</t>
  </si>
  <si>
    <t xml:space="preserve">Perenial Acre</t>
  </si>
  <si>
    <t xml:space="preserve">Livestock Acre</t>
  </si>
  <si>
    <t xml:space="preserve"># Acres</t>
  </si>
  <si>
    <t xml:space="preserve">Net Rev</t>
  </si>
  <si>
    <t xml:space="preserve">Corn A</t>
  </si>
  <si>
    <t xml:space="preserve">Soy A</t>
  </si>
  <si>
    <t xml:space="preserve">Perenial A</t>
  </si>
  <si>
    <t xml:space="preserve">Total </t>
  </si>
  <si>
    <t xml:space="preserve">Perenial Alley</t>
  </si>
  <si>
    <t xml:space="preserve">Outside Field Edge</t>
  </si>
  <si>
    <t xml:space="preserve">Graze/Relay</t>
  </si>
  <si>
    <t xml:space="preserve">Corn</t>
  </si>
  <si>
    <t xml:space="preserve">Soybean</t>
  </si>
  <si>
    <t xml:space="preserve">Cool Season/Graze</t>
  </si>
  <si>
    <t xml:space="preserve">Summer Hay/Graze</t>
  </si>
  <si>
    <t xml:space="preserve">Field Calculator on 80 Acres</t>
  </si>
  <si>
    <t xml:space="preserve">20 ft</t>
  </si>
  <si>
    <t xml:space="preserve">10 ft</t>
  </si>
  <si>
    <t xml:space="preserve">700 ft</t>
  </si>
  <si>
    <t xml:space="preserve">Field Dimensions</t>
  </si>
  <si>
    <t xml:space="preserve">Field length</t>
  </si>
  <si>
    <t xml:space="preserve">Field Width</t>
  </si>
  <si>
    <t xml:space="preserve">Acres</t>
  </si>
  <si>
    <t xml:space="preserve">Alley acres</t>
  </si>
  <si>
    <t xml:space="preserve"># of 20 ft Strips</t>
  </si>
  <si>
    <t xml:space="preserve">Area of Strips Acres</t>
  </si>
  <si>
    <t xml:space="preserve">Area of Barns Acres</t>
  </si>
  <si>
    <t xml:space="preserve">Area of Corn Acres</t>
  </si>
  <si>
    <t xml:space="preserve">Area of Soybeans Acres</t>
  </si>
  <si>
    <t xml:space="preserve">120 ft</t>
  </si>
  <si>
    <t xml:space="preserve">Area of Alleys</t>
  </si>
  <si>
    <t xml:space="preserve"># of Barns</t>
  </si>
  <si>
    <t xml:space="preserve">Adjusted Number of Barns</t>
  </si>
  <si>
    <t xml:space="preserve">120 ft replicated 10 times</t>
  </si>
  <si>
    <t xml:space="preserve">Grazing Days/Year</t>
  </si>
  <si>
    <t xml:space="preserve">May 15-Oct 15</t>
  </si>
  <si>
    <t xml:space="preserve">Grazing Moves/Day</t>
  </si>
  <si>
    <t xml:space="preserve">Length of Pen</t>
  </si>
  <si>
    <t xml:space="preserve">Passes of Barn/Season</t>
  </si>
  <si>
    <t xml:space="preserve">2 turns</t>
  </si>
  <si>
    <t xml:space="preserve">Barn Width Ft</t>
  </si>
  <si>
    <t xml:space="preserve">Sq ft/day</t>
  </si>
  <si>
    <t xml:space="preserve">Acre/season</t>
  </si>
  <si>
    <t xml:space="preserve">Row Length </t>
  </si>
  <si>
    <t xml:space="preserve"># of Pigs</t>
  </si>
  <si>
    <t xml:space="preserve"># Goats</t>
  </si>
  <si>
    <t xml:space="preserve"># Lamb</t>
  </si>
  <si>
    <t xml:space="preserve">#Chickens</t>
  </si>
  <si>
    <t xml:space="preserve">Revenue/barn</t>
  </si>
  <si>
    <t xml:space="preserve">Revenue/Acre</t>
  </si>
  <si>
    <t xml:space="preserve">Cost/Barn</t>
  </si>
  <si>
    <t xml:space="preserve">Net Profit/Barn</t>
  </si>
  <si>
    <t xml:space="preserve">Net Profit/A</t>
  </si>
  <si>
    <t xml:space="preserve">Pig Gal/A</t>
  </si>
  <si>
    <t xml:space="preserve">Lbs/A of N</t>
  </si>
  <si>
    <t xml:space="preserve">lbs/A  P205</t>
  </si>
  <si>
    <t xml:space="preserve">lbs/A K20</t>
  </si>
  <si>
    <t xml:space="preserve">Chicken Manure</t>
  </si>
  <si>
    <t xml:space="preserve">Sheep lbs/A</t>
  </si>
  <si>
    <t xml:space="preserve">N</t>
  </si>
  <si>
    <t xml:space="preserve">P</t>
  </si>
  <si>
    <t xml:space="preserve">K</t>
  </si>
  <si>
    <t xml:space="preserve">10 ft barn</t>
  </si>
  <si>
    <t xml:space="preserve">15 ft barn</t>
  </si>
  <si>
    <t xml:space="preserve">20 ft barn</t>
  </si>
  <si>
    <t xml:space="preserve">Animal Enterprise</t>
  </si>
  <si>
    <t xml:space="preserve">Livestock System Assumptions/Variables</t>
  </si>
  <si>
    <t xml:space="preserve">Annual Expenses</t>
  </si>
  <si>
    <t xml:space="preserve">Per Acre</t>
  </si>
  <si>
    <t xml:space="preserve">Type of Livestock</t>
  </si>
  <si>
    <t xml:space="preserve">$/Feeder animal</t>
  </si>
  <si>
    <t xml:space="preserve">Annual Stocking Rate/Barn</t>
  </si>
  <si>
    <t xml:space="preserve">Total</t>
  </si>
  <si>
    <t xml:space="preserve"># Feed to Finish</t>
  </si>
  <si>
    <t xml:space="preserve">$/# Feed</t>
  </si>
  <si>
    <t xml:space="preserve">Cost</t>
  </si>
  <si>
    <t xml:space="preserve">Land Rental</t>
  </si>
  <si>
    <t xml:space="preserve">Feeder Pigs</t>
  </si>
  <si>
    <t xml:space="preserve">Cost of Mobile Barn</t>
  </si>
  <si>
    <t xml:space="preserve">Goat Kids</t>
  </si>
  <si>
    <t xml:space="preserve">Repairs</t>
  </si>
  <si>
    <t xml:space="preserve">Lambs</t>
  </si>
  <si>
    <t xml:space="preserve">Livestock Cost</t>
  </si>
  <si>
    <t xml:space="preserve">Chickens</t>
  </si>
  <si>
    <t xml:space="preserve">Pature Establishment</t>
  </si>
  <si>
    <t xml:space="preserve">Livestock Feed</t>
  </si>
  <si>
    <t xml:space="preserve">Total Feeder Animal Cost/Barn</t>
  </si>
  <si>
    <t xml:space="preserve">Labor</t>
  </si>
  <si>
    <t xml:space="preserve">Machinery</t>
  </si>
  <si>
    <t xml:space="preserve">Labor Variable</t>
  </si>
  <si>
    <t xml:space="preserve">Hr/Barn</t>
  </si>
  <si>
    <t xml:space="preserve">Cost/hr</t>
  </si>
  <si>
    <t xml:space="preserve">Daily/Cost</t>
  </si>
  <si>
    <t xml:space="preserve">Annual Labor Cost (.33 yr)</t>
  </si>
  <si>
    <t xml:space="preserve">Total Expenses/A</t>
  </si>
  <si>
    <t xml:space="preserve">Barn Variables</t>
  </si>
  <si>
    <t xml:space="preserve">Cost of Barn</t>
  </si>
  <si>
    <t xml:space="preserve">Annual Revenue Estimate</t>
  </si>
  <si>
    <t xml:space="preserve">$/dressed lbs</t>
  </si>
  <si>
    <t xml:space="preserve">Hanging Weight</t>
  </si>
  <si>
    <t xml:space="preserve">Rev/animal</t>
  </si>
  <si>
    <t xml:space="preserve">Stocking Rate Total</t>
  </si>
  <si>
    <t xml:space="preserve">Amortized Length(yrs)</t>
  </si>
  <si>
    <t xml:space="preserve">Pigs</t>
  </si>
  <si>
    <t xml:space="preserve">Interest</t>
  </si>
  <si>
    <t xml:space="preserve">End Value</t>
  </si>
  <si>
    <t xml:space="preserve">Goats</t>
  </si>
  <si>
    <t xml:space="preserve">Annual Payment</t>
  </si>
  <si>
    <t xml:space="preserve">Sheep</t>
  </si>
  <si>
    <t xml:space="preserve">Total Revenue/Barn</t>
  </si>
  <si>
    <t xml:space="preserve">Feed Stuff Requirements</t>
  </si>
  <si>
    <t xml:space="preserve">Corn/animal</t>
  </si>
  <si>
    <t xml:space="preserve">Soy</t>
  </si>
  <si>
    <t xml:space="preserve">Corn bu Needed</t>
  </si>
  <si>
    <t xml:space="preserve">Soy bu Needed</t>
  </si>
  <si>
    <t xml:space="preserve">Corn A Need</t>
  </si>
  <si>
    <t xml:space="preserve">Soy A Need</t>
  </si>
  <si>
    <t xml:space="preserve">Net Income/Barn Acre</t>
  </si>
  <si>
    <t xml:space="preserve">Acres Used/Year</t>
  </si>
  <si>
    <t xml:space="preserve">Total Animals Produced/A</t>
  </si>
  <si>
    <t xml:space="preserve">Acres/Yr</t>
  </si>
  <si>
    <t xml:space="preserve">Expenses</t>
  </si>
  <si>
    <t xml:space="preserve">Nitrogen</t>
  </si>
  <si>
    <t xml:space="preserve">Seed</t>
  </si>
  <si>
    <t xml:space="preserve">Cover Crop</t>
  </si>
  <si>
    <t xml:space="preserve">Herbicide</t>
  </si>
  <si>
    <t xml:space="preserve">Drying 5 points@200 bu</t>
  </si>
  <si>
    <t xml:space="preserve">Fuel and Parts</t>
  </si>
  <si>
    <t xml:space="preserve">Rent/Opportunity Cost</t>
  </si>
  <si>
    <t xml:space="preserve">Crop Insurance</t>
  </si>
  <si>
    <t xml:space="preserve">Machinery Cost</t>
  </si>
  <si>
    <t xml:space="preserve">Total Expenses</t>
  </si>
  <si>
    <t xml:space="preserve">Realistic Yield Goal</t>
  </si>
  <si>
    <t xml:space="preserve">Breakeven</t>
  </si>
  <si>
    <t xml:space="preserve">AVG Price</t>
  </si>
  <si>
    <t xml:space="preserve">Total Revenue</t>
  </si>
  <si>
    <t xml:space="preserve">Net Return to Labor</t>
  </si>
  <si>
    <t xml:space="preserve">Perrenial Alfalfa/Grass</t>
  </si>
  <si>
    <t xml:space="preserve">Alfalfa Seed</t>
  </si>
  <si>
    <t xml:space="preserve">Realistic Yield Goal in tons</t>
  </si>
  <si>
    <t xml:space="preserve">AVG Price/ton</t>
  </si>
  <si>
    <t xml:space="preserve">Total Passes</t>
  </si>
  <si>
    <t xml:space="preserve">Selling Price Per Animal</t>
  </si>
  <si>
    <t xml:space="preserve">Crop C/Pen</t>
  </si>
  <si>
    <t xml:space="preserve">Gross</t>
  </si>
  <si>
    <t xml:space="preserve">Pass Length</t>
  </si>
  <si>
    <t xml:space="preserve">Pass Area (Ft^2)</t>
  </si>
  <si>
    <t xml:space="preserve">Pen</t>
  </si>
  <si>
    <t xml:space="preserve">Area/Barn (Acres)</t>
  </si>
  <si>
    <t xml:space="preserve">Feed</t>
  </si>
  <si>
    <t xml:space="preserve">Pasture Mix</t>
  </si>
  <si>
    <t xml:space="preserve">Pens</t>
  </si>
  <si>
    <t xml:space="preserve">Animal Purchase</t>
  </si>
  <si>
    <t xml:space="preserve">Beans</t>
  </si>
  <si>
    <t xml:space="preserve">Additional Support Machinery</t>
  </si>
  <si>
    <t xml:space="preserve">Spring Small Grain</t>
  </si>
  <si>
    <t xml:space="preserve">Fall Seeded Small Grain</t>
  </si>
  <si>
    <t xml:space="preserve">Spring Seeded Legume</t>
  </si>
  <si>
    <t xml:space="preserve">Pen Related </t>
  </si>
  <si>
    <t xml:space="preserve">Ends</t>
  </si>
  <si>
    <t xml:space="preserve">Revenue Steams</t>
  </si>
  <si>
    <t xml:space="preserve">Gross Dollars</t>
  </si>
  <si>
    <t xml:space="preserve">Land</t>
  </si>
  <si>
    <t xml:space="preserve">Pen Related</t>
  </si>
  <si>
    <t xml:space="preserve">Ends-Forage</t>
  </si>
  <si>
    <t xml:space="preserve">Total Net</t>
  </si>
  <si>
    <t xml:space="preserve">Per Every Acre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</si>
</sst>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_(\$* #,##0.00_);_(\$* \(#,##0.00\);_(\$* \-??_);_(@_)"/>
    <numFmt numFmtId="166" formatCode="0.0"/>
    <numFmt numFmtId="167" formatCode="\$#,##0.00_);[RED]&quot;($&quot;#,##0.00\)"/>
    <numFmt numFmtId="168" formatCode="0%"/>
    <numFmt numFmtId="169" formatCode="0.00%"/>
    <numFmt numFmtId="170" formatCode="0.00"/>
    <numFmt numFmtId="171" formatCode="\$#,##0.00;&quot;$(&quot;#,##0.00\)"/>
    <numFmt numFmtId="172" formatCode="\$#,##0.00_);&quot;($&quot;#,##0.00\)"/>
    <numFmt numFmtId="173" formatCode="\$#,##0.00"/>
  </numFmts>
  <fonts count="16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theme="1"/>
      <name val="Arial Black"/>
      <family val="2"/>
      <charset val="1"/>
    </font>
    <font>
      <b val="true"/>
      <sz val="11"/>
      <color theme="1"/>
      <name val="Calibri"/>
      <family val="2"/>
      <charset val="1"/>
    </font>
    <font>
      <b val="true"/>
      <u val="single"/>
      <sz val="11"/>
      <color theme="1"/>
      <name val="Calibri"/>
      <family val="2"/>
      <charset val="1"/>
    </font>
    <font>
      <sz val="18"/>
      <color theme="1"/>
      <name val="Calibri"/>
      <family val="2"/>
      <charset val="1"/>
    </font>
    <font>
      <sz val="20"/>
      <color theme="1"/>
      <name val="Calibri"/>
      <family val="2"/>
      <charset val="1"/>
    </font>
    <font>
      <b val="true"/>
      <sz val="10"/>
      <color theme="1"/>
      <name val="Calibri"/>
      <family val="2"/>
      <charset val="1"/>
    </font>
    <font>
      <b val="true"/>
      <sz val="20"/>
      <color theme="1"/>
      <name val="Calibri"/>
      <family val="2"/>
      <charset val="1"/>
    </font>
    <font>
      <b val="true"/>
      <sz val="10"/>
      <color rgb="FF00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2"/>
      <color theme="1"/>
      <name val="Calibri"/>
      <family val="2"/>
      <charset val="1"/>
    </font>
    <font>
      <sz val="14"/>
      <color rgb="FF000000"/>
      <name val="Arial"/>
      <family val="2"/>
      <charset val="1"/>
    </font>
    <font>
      <sz val="16"/>
      <name val="Arial"/>
      <family val="2"/>
      <charset val="1"/>
    </font>
  </fonts>
  <fills count="13">
    <fill>
      <patternFill patternType="none"/>
    </fill>
    <fill>
      <patternFill patternType="gray125"/>
    </fill>
    <fill>
      <patternFill patternType="solid">
        <fgColor theme="4" tint="0.7999"/>
        <bgColor rgb="FFDEEBF7"/>
      </patternFill>
    </fill>
    <fill>
      <patternFill patternType="solid">
        <fgColor theme="9" tint="0.5999"/>
        <bgColor rgb="FFA9D18E"/>
      </patternFill>
    </fill>
    <fill>
      <patternFill patternType="solid">
        <fgColor theme="7" tint="0.5999"/>
        <bgColor rgb="FFFFF2CC"/>
      </patternFill>
    </fill>
    <fill>
      <patternFill patternType="solid">
        <fgColor theme="9" tint="-0.25"/>
        <bgColor rgb="FF339966"/>
      </patternFill>
    </fill>
    <fill>
      <patternFill patternType="solid">
        <fgColor theme="5" tint="0.5999"/>
        <bgColor rgb="FFFFE699"/>
      </patternFill>
    </fill>
    <fill>
      <patternFill patternType="solid">
        <fgColor theme="7" tint="0.7999"/>
        <bgColor rgb="FFE2F0D9"/>
      </patternFill>
    </fill>
    <fill>
      <patternFill patternType="solid">
        <fgColor theme="9" tint="0.7999"/>
        <bgColor rgb="FFDEEBF7"/>
      </patternFill>
    </fill>
    <fill>
      <patternFill patternType="solid">
        <fgColor theme="5" tint="0.3999"/>
        <bgColor rgb="FFF8CBAD"/>
      </patternFill>
    </fill>
    <fill>
      <patternFill patternType="solid">
        <fgColor theme="8" tint="0.7999"/>
        <bgColor rgb="FFDAE3F3"/>
      </patternFill>
    </fill>
    <fill>
      <patternFill patternType="solid">
        <fgColor rgb="FF92D050"/>
        <bgColor rgb="FFA9D18E"/>
      </patternFill>
    </fill>
    <fill>
      <patternFill patternType="solid">
        <fgColor theme="9" tint="0.3999"/>
        <bgColor rgb="FFC5E0B4"/>
      </patternFill>
    </fill>
  </fills>
  <borders count="20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42" fontId="1" fillId="0" borderId="0" applyFont="true" applyBorder="false" applyAlignment="false" applyProtection="false"/>
    <xf numFmtId="168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13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0" xfId="0" applyFont="true" applyBorder="true" applyAlignment="true" applyProtection="false">
      <alignment horizontal="center" vertical="center" textRotation="18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center" vertical="center" textRotation="18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2" xfId="0" applyFont="true" applyBorder="true" applyAlignment="true" applyProtection="false">
      <alignment horizontal="center" vertical="center" textRotation="180" wrapText="false" indent="0" shrinkToFit="false"/>
      <protection locked="true" hidden="false"/>
    </xf>
    <xf numFmtId="164" fontId="0" fillId="5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6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7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7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7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7" borderId="8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7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7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7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7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7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7" borderId="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7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7" borderId="1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7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7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7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7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7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7" borderId="1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8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8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8" borderId="7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8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8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8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8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8" borderId="1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9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9" borderId="1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1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10" borderId="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15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1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10" borderId="9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1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1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11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11" borderId="1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1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1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1" fillId="4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0" fontId="12" fillId="4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12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2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2" fillId="4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12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4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2" fillId="1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12" fillId="1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4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1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4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2" fillId="1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4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12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4" fillId="4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1" fontId="14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1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1" fontId="14" fillId="1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4" borderId="1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12" borderId="1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1" fillId="4" borderId="1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5" fillId="4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12" borderId="1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5" fillId="12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4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1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1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5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5" fillId="1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548235"/>
      <rgbColor rgb="FF800080"/>
      <rgbColor rgb="FF008080"/>
      <rgbColor rgb="FFA9D18E"/>
      <rgbColor rgb="FF808080"/>
      <rgbColor rgb="FF9999FF"/>
      <rgbColor rgb="FF993366"/>
      <rgbColor rgb="FFFFF2CC"/>
      <rgbColor rgb="FFDEEBF7"/>
      <rgbColor rgb="FF660066"/>
      <rgbColor rgb="FFFF8080"/>
      <rgbColor rgb="FF0066CC"/>
      <rgbColor rgb="FFDAE3F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5E0B4"/>
      <rgbColor rgb="FFE2F0D9"/>
      <rgbColor rgb="FFFFE699"/>
      <rgbColor rgb="FF99CCFF"/>
      <rgbColor rgb="FFF4B183"/>
      <rgbColor rgb="FFCC99FF"/>
      <rgbColor rgb="FFF8CBAD"/>
      <rgbColor rgb="FF3366FF"/>
      <rgbColor rgb="FF33CCCC"/>
      <rgbColor rgb="FF92D05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19" activeCellId="0" sqref="E19"/>
    </sheetView>
  </sheetViews>
  <sheetFormatPr defaultColWidth="8.390625" defaultRowHeight="14.25" customHeight="true" zeroHeight="false" outlineLevelRow="0" outlineLevelCol="0"/>
  <cols>
    <col collapsed="false" customWidth="true" hidden="false" outlineLevel="0" max="1" min="1" style="0" width="16.18"/>
    <col collapsed="false" customWidth="true" hidden="false" outlineLevel="0" max="2" min="2" style="0" width="14.91"/>
    <col collapsed="false" customWidth="true" hidden="false" outlineLevel="0" max="3" min="3" style="0" width="12.54"/>
    <col collapsed="false" customWidth="true" hidden="false" outlineLevel="0" max="4" min="4" style="0" width="11.09"/>
    <col collapsed="false" customWidth="true" hidden="false" outlineLevel="0" max="5" min="5" style="0" width="14.82"/>
  </cols>
  <sheetData>
    <row r="1" customFormat="false" ht="14.25" hidden="false" customHeight="false" outlineLevel="0" collapsed="false">
      <c r="A1" s="1" t="s">
        <v>0</v>
      </c>
    </row>
    <row r="3" customFormat="false" ht="14.25" hidden="false" customHeight="false" outlineLevel="0" collapsed="false">
      <c r="A3" s="2" t="s">
        <v>1</v>
      </c>
      <c r="B3" s="2" t="n">
        <v>78</v>
      </c>
    </row>
    <row r="5" customFormat="false" ht="14.25" hidden="false" customHeight="false" outlineLevel="0" collapsed="false">
      <c r="A5" s="3" t="s">
        <v>2</v>
      </c>
      <c r="B5" s="4" t="s">
        <v>3</v>
      </c>
      <c r="C5" s="4" t="s">
        <v>4</v>
      </c>
      <c r="D5" s="4" t="s">
        <v>5</v>
      </c>
    </row>
    <row r="6" customFormat="false" ht="14.25" hidden="false" customHeight="false" outlineLevel="0" collapsed="false">
      <c r="A6" s="0" t="s">
        <v>6</v>
      </c>
      <c r="B6" s="5" t="n">
        <f aca="false">'CornSoy Enterprise'!B16</f>
        <v>643</v>
      </c>
      <c r="C6" s="5" t="n">
        <f aca="false">'CornSoy Enterprise'!B24</f>
        <v>975</v>
      </c>
      <c r="D6" s="5" t="n">
        <f aca="false">C6-B6</f>
        <v>332</v>
      </c>
    </row>
    <row r="7" customFormat="false" ht="14.25" hidden="false" customHeight="false" outlineLevel="0" collapsed="false">
      <c r="A7" s="0" t="s">
        <v>7</v>
      </c>
      <c r="B7" s="5" t="n">
        <f aca="false">'CornSoy Enterprise'!E16</f>
        <v>501</v>
      </c>
      <c r="C7" s="5" t="n">
        <f aca="false">'CornSoy Enterprise'!E24</f>
        <v>510</v>
      </c>
      <c r="D7" s="5" t="n">
        <f aca="false">C7-B7</f>
        <v>9</v>
      </c>
    </row>
    <row r="8" customFormat="false" ht="14.25" hidden="false" customHeight="false" outlineLevel="0" collapsed="false">
      <c r="A8" s="0" t="s">
        <v>8</v>
      </c>
      <c r="B8" s="5" t="n">
        <f aca="false">'Perenial Enterprise'!B15</f>
        <v>450</v>
      </c>
      <c r="C8" s="5" t="n">
        <f aca="false">'Perenial Enterprise'!B23</f>
        <v>600</v>
      </c>
      <c r="D8" s="5" t="n">
        <f aca="false">C8-B8</f>
        <v>150</v>
      </c>
    </row>
    <row r="9" customFormat="false" ht="14.25" hidden="false" customHeight="false" outlineLevel="0" collapsed="false">
      <c r="A9" s="0" t="s">
        <v>9</v>
      </c>
      <c r="B9" s="5" t="n">
        <f aca="false">'10 ft Animal Enterprise'!B13</f>
        <v>6366.38852444249</v>
      </c>
      <c r="C9" s="5" t="n">
        <f aca="false">'10 ft Animal Enterprise'!E21</f>
        <v>6870</v>
      </c>
      <c r="D9" s="5" t="n">
        <f aca="false">C9-B9</f>
        <v>503.61147555751</v>
      </c>
    </row>
    <row r="12" customFormat="false" ht="14.25" hidden="false" customHeight="false" outlineLevel="0" collapsed="false">
      <c r="A12" s="3" t="s">
        <v>2</v>
      </c>
      <c r="B12" s="4" t="s">
        <v>10</v>
      </c>
      <c r="C12" s="4" t="s">
        <v>11</v>
      </c>
    </row>
    <row r="13" customFormat="false" ht="14.25" hidden="false" customHeight="false" outlineLevel="0" collapsed="false">
      <c r="A13" s="0" t="s">
        <v>12</v>
      </c>
      <c r="B13" s="6" t="n">
        <v>15</v>
      </c>
      <c r="C13" s="7" t="n">
        <f aca="false">D6*B13</f>
        <v>4980</v>
      </c>
    </row>
    <row r="14" customFormat="false" ht="14.25" hidden="false" customHeight="false" outlineLevel="0" collapsed="false">
      <c r="A14" s="0" t="s">
        <v>13</v>
      </c>
      <c r="B14" s="6" t="n">
        <v>15</v>
      </c>
      <c r="C14" s="7" t="n">
        <f aca="false">D7*B14</f>
        <v>135</v>
      </c>
    </row>
    <row r="15" customFormat="false" ht="14.25" hidden="false" customHeight="false" outlineLevel="0" collapsed="false">
      <c r="A15" s="0" t="s">
        <v>14</v>
      </c>
      <c r="B15" s="6" t="n">
        <v>18</v>
      </c>
      <c r="C15" s="7" t="n">
        <f aca="false">D8*B15</f>
        <v>2700</v>
      </c>
    </row>
    <row r="16" customFormat="false" ht="14.25" hidden="false" customHeight="false" outlineLevel="0" collapsed="false">
      <c r="A16" s="0" t="s">
        <v>9</v>
      </c>
      <c r="B16" s="6" t="n">
        <v>30</v>
      </c>
      <c r="C16" s="7" t="n">
        <f aca="false">D9*B16</f>
        <v>15108.3442667253</v>
      </c>
    </row>
    <row r="17" customFormat="false" ht="14.25" hidden="false" customHeight="false" outlineLevel="0" collapsed="false">
      <c r="C17" s="7"/>
    </row>
    <row r="18" customFormat="false" ht="14.25" hidden="false" customHeight="false" outlineLevel="0" collapsed="false">
      <c r="A18" s="2" t="s">
        <v>15</v>
      </c>
      <c r="B18" s="2"/>
      <c r="C18" s="8" t="n">
        <f aca="false">SUM(C13:C17)</f>
        <v>22923.3442667253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5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V21" activeCellId="0" sqref="V21"/>
    </sheetView>
  </sheetViews>
  <sheetFormatPr defaultColWidth="8.390625" defaultRowHeight="14.25" customHeight="true" zeroHeight="false" outlineLevelRow="0" outlineLevelCol="0"/>
  <cols>
    <col collapsed="false" customWidth="true" hidden="false" outlineLevel="0" max="2" min="2" style="0" width="8.91"/>
    <col collapsed="false" customWidth="true" hidden="false" outlineLevel="0" max="15" min="15" style="9" width="8.91"/>
    <col collapsed="false" customWidth="true" hidden="false" outlineLevel="0" max="16" min="16" style="0" width="22.54"/>
  </cols>
  <sheetData>
    <row r="1" customFormat="false" ht="14.25" hidden="false" customHeight="false" outlineLevel="0" collapsed="false">
      <c r="A1" s="10"/>
      <c r="B1" s="11" t="s">
        <v>16</v>
      </c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2"/>
    </row>
    <row r="2" customFormat="false" ht="14.25" hidden="false" customHeight="false" outlineLevel="0" collapsed="false">
      <c r="A2" s="10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2"/>
    </row>
    <row r="3" customFormat="false" ht="14.25" hidden="false" customHeight="false" outlineLevel="0" collapsed="false">
      <c r="A3" s="13" t="s">
        <v>17</v>
      </c>
      <c r="B3" s="14" t="s">
        <v>18</v>
      </c>
      <c r="C3" s="14"/>
      <c r="D3" s="2" t="s">
        <v>19</v>
      </c>
      <c r="E3" s="2" t="s">
        <v>20</v>
      </c>
      <c r="F3" s="2" t="s">
        <v>21</v>
      </c>
      <c r="G3" s="2"/>
      <c r="H3" s="2" t="s">
        <v>20</v>
      </c>
      <c r="I3" s="2" t="s">
        <v>19</v>
      </c>
      <c r="J3" s="2" t="s">
        <v>22</v>
      </c>
      <c r="K3" s="2"/>
      <c r="L3" s="2" t="s">
        <v>19</v>
      </c>
      <c r="M3" s="2" t="s">
        <v>20</v>
      </c>
      <c r="N3" s="13" t="s">
        <v>17</v>
      </c>
      <c r="P3" s="0" t="s">
        <v>23</v>
      </c>
      <c r="Q3" s="15"/>
    </row>
    <row r="4" customFormat="false" ht="14.25" hidden="false" customHeight="false" outlineLevel="0" collapsed="false">
      <c r="A4" s="13"/>
      <c r="B4" s="16" t="s">
        <v>24</v>
      </c>
      <c r="C4" s="16"/>
      <c r="D4" s="17" t="s">
        <v>25</v>
      </c>
      <c r="E4" s="18" t="s">
        <v>25</v>
      </c>
      <c r="F4" s="16" t="s">
        <v>24</v>
      </c>
      <c r="G4" s="16"/>
      <c r="H4" s="17" t="s">
        <v>25</v>
      </c>
      <c r="I4" s="18" t="s">
        <v>25</v>
      </c>
      <c r="J4" s="16" t="s">
        <v>24</v>
      </c>
      <c r="K4" s="16"/>
      <c r="L4" s="17" t="s">
        <v>25</v>
      </c>
      <c r="M4" s="18" t="s">
        <v>25</v>
      </c>
      <c r="N4" s="13"/>
      <c r="O4" s="19" t="s">
        <v>26</v>
      </c>
      <c r="Q4" s="15"/>
    </row>
    <row r="5" customFormat="false" ht="14.25" hidden="false" customHeight="false" outlineLevel="0" collapsed="false">
      <c r="A5" s="13"/>
      <c r="B5" s="20"/>
      <c r="C5" s="20"/>
      <c r="D5" s="21"/>
      <c r="E5" s="22"/>
      <c r="F5" s="20"/>
      <c r="G5" s="20"/>
      <c r="H5" s="22"/>
      <c r="I5" s="21"/>
      <c r="J5" s="20"/>
      <c r="K5" s="20"/>
      <c r="L5" s="21"/>
      <c r="M5" s="22"/>
      <c r="N5" s="13"/>
      <c r="O5" s="19"/>
      <c r="P5" s="0" t="s">
        <v>27</v>
      </c>
      <c r="Q5" s="15"/>
    </row>
    <row r="6" customFormat="false" ht="14.25" hidden="false" customHeight="false" outlineLevel="0" collapsed="false">
      <c r="A6" s="13"/>
      <c r="B6" s="20"/>
      <c r="C6" s="20"/>
      <c r="D6" s="21"/>
      <c r="E6" s="22"/>
      <c r="F6" s="20"/>
      <c r="G6" s="20"/>
      <c r="H6" s="22"/>
      <c r="I6" s="21"/>
      <c r="J6" s="20"/>
      <c r="K6" s="20"/>
      <c r="L6" s="21"/>
      <c r="M6" s="22"/>
      <c r="N6" s="13"/>
      <c r="O6" s="19"/>
      <c r="P6" s="0" t="s">
        <v>28</v>
      </c>
      <c r="Q6" s="15" t="n">
        <v>2600</v>
      </c>
    </row>
    <row r="7" customFormat="false" ht="14.25" hidden="false" customHeight="false" outlineLevel="0" collapsed="false">
      <c r="A7" s="13"/>
      <c r="B7" s="20"/>
      <c r="C7" s="20"/>
      <c r="D7" s="21"/>
      <c r="E7" s="22"/>
      <c r="F7" s="20"/>
      <c r="G7" s="20"/>
      <c r="H7" s="22"/>
      <c r="I7" s="21"/>
      <c r="J7" s="20"/>
      <c r="K7" s="20"/>
      <c r="L7" s="21"/>
      <c r="M7" s="22"/>
      <c r="N7" s="13"/>
      <c r="O7" s="19"/>
      <c r="P7" s="0" t="s">
        <v>29</v>
      </c>
      <c r="Q7" s="15" t="n">
        <v>1280</v>
      </c>
    </row>
    <row r="8" customFormat="false" ht="14.25" hidden="false" customHeight="false" outlineLevel="0" collapsed="false">
      <c r="A8" s="13"/>
      <c r="B8" s="20"/>
      <c r="C8" s="20"/>
      <c r="D8" s="21"/>
      <c r="E8" s="22"/>
      <c r="F8" s="20"/>
      <c r="G8" s="20"/>
      <c r="H8" s="22"/>
      <c r="I8" s="21"/>
      <c r="J8" s="20"/>
      <c r="K8" s="20"/>
      <c r="L8" s="21"/>
      <c r="M8" s="22"/>
      <c r="N8" s="13"/>
      <c r="O8" s="19"/>
      <c r="P8" s="0" t="s">
        <v>30</v>
      </c>
      <c r="Q8" s="15" t="n">
        <f aca="false">Q6*Q7/43560</f>
        <v>76.4003673094582</v>
      </c>
    </row>
    <row r="9" customFormat="false" ht="14.25" hidden="false" customHeight="false" outlineLevel="0" collapsed="false">
      <c r="A9" s="13"/>
      <c r="B9" s="20"/>
      <c r="C9" s="20"/>
      <c r="D9" s="21"/>
      <c r="E9" s="22"/>
      <c r="F9" s="20"/>
      <c r="G9" s="20"/>
      <c r="H9" s="22"/>
      <c r="I9" s="21"/>
      <c r="J9" s="20"/>
      <c r="K9" s="20"/>
      <c r="L9" s="21"/>
      <c r="M9" s="22"/>
      <c r="N9" s="13"/>
      <c r="O9" s="19"/>
      <c r="Q9" s="15"/>
    </row>
    <row r="10" customFormat="false" ht="14.25" hidden="false" customHeight="false" outlineLevel="0" collapsed="false">
      <c r="A10" s="13"/>
      <c r="B10" s="20"/>
      <c r="C10" s="20"/>
      <c r="D10" s="21"/>
      <c r="E10" s="22"/>
      <c r="F10" s="20"/>
      <c r="G10" s="20"/>
      <c r="H10" s="22"/>
      <c r="I10" s="21"/>
      <c r="J10" s="20"/>
      <c r="K10" s="20"/>
      <c r="L10" s="21"/>
      <c r="M10" s="22"/>
      <c r="N10" s="13"/>
      <c r="O10" s="19"/>
      <c r="P10" s="0" t="s">
        <v>31</v>
      </c>
      <c r="Q10" s="15" t="n">
        <f aca="false">120*4*1280/43560</f>
        <v>14.1046831955923</v>
      </c>
    </row>
    <row r="11" customFormat="false" ht="14.25" hidden="false" customHeight="false" outlineLevel="0" collapsed="false">
      <c r="A11" s="13"/>
      <c r="B11" s="20"/>
      <c r="C11" s="20"/>
      <c r="D11" s="21"/>
      <c r="E11" s="22"/>
      <c r="F11" s="20"/>
      <c r="G11" s="20"/>
      <c r="H11" s="22"/>
      <c r="I11" s="21"/>
      <c r="J11" s="20"/>
      <c r="K11" s="20"/>
      <c r="L11" s="21"/>
      <c r="M11" s="22"/>
      <c r="N11" s="13"/>
      <c r="O11" s="19"/>
      <c r="Q11" s="15"/>
    </row>
    <row r="12" customFormat="false" ht="14.25" hidden="false" customHeight="false" outlineLevel="0" collapsed="false">
      <c r="A12" s="13"/>
      <c r="B12" s="20"/>
      <c r="C12" s="20"/>
      <c r="D12" s="21"/>
      <c r="E12" s="22"/>
      <c r="F12" s="20"/>
      <c r="G12" s="20"/>
      <c r="H12" s="22"/>
      <c r="I12" s="21"/>
      <c r="J12" s="20"/>
      <c r="K12" s="20"/>
      <c r="L12" s="21"/>
      <c r="M12" s="22"/>
      <c r="N12" s="13"/>
      <c r="O12" s="19"/>
      <c r="P12" s="0" t="s">
        <v>32</v>
      </c>
      <c r="Q12" s="15" t="n">
        <v>60</v>
      </c>
    </row>
    <row r="13" customFormat="false" ht="14.25" hidden="false" customHeight="false" outlineLevel="0" collapsed="false">
      <c r="A13" s="13"/>
      <c r="B13" s="20"/>
      <c r="C13" s="20"/>
      <c r="D13" s="21"/>
      <c r="E13" s="22"/>
      <c r="F13" s="20"/>
      <c r="G13" s="20"/>
      <c r="H13" s="22"/>
      <c r="I13" s="21"/>
      <c r="J13" s="20"/>
      <c r="K13" s="20"/>
      <c r="L13" s="21"/>
      <c r="M13" s="22"/>
      <c r="N13" s="13"/>
      <c r="O13" s="19"/>
      <c r="P13" s="0" t="s">
        <v>33</v>
      </c>
      <c r="Q13" s="15" t="n">
        <f aca="false">Q8-Q10</f>
        <v>62.2956841138659</v>
      </c>
    </row>
    <row r="14" customFormat="false" ht="14.25" hidden="false" customHeight="false" outlineLevel="0" collapsed="false">
      <c r="A14" s="13"/>
      <c r="B14" s="20"/>
      <c r="C14" s="20"/>
      <c r="D14" s="21"/>
      <c r="E14" s="22"/>
      <c r="F14" s="20"/>
      <c r="G14" s="20"/>
      <c r="H14" s="22"/>
      <c r="I14" s="21"/>
      <c r="J14" s="20"/>
      <c r="K14" s="20"/>
      <c r="L14" s="21"/>
      <c r="M14" s="22"/>
      <c r="N14" s="13"/>
      <c r="O14" s="19"/>
      <c r="P14" s="0" t="s">
        <v>34</v>
      </c>
      <c r="Q14" s="15" t="n">
        <f aca="false">1200*2100/43560/2</f>
        <v>28.9256198347107</v>
      </c>
    </row>
    <row r="15" customFormat="false" ht="14.25" hidden="false" customHeight="false" outlineLevel="0" collapsed="false">
      <c r="A15" s="13"/>
      <c r="B15" s="20"/>
      <c r="C15" s="20"/>
      <c r="D15" s="21"/>
      <c r="E15" s="22"/>
      <c r="F15" s="20"/>
      <c r="G15" s="20"/>
      <c r="H15" s="22"/>
      <c r="I15" s="21"/>
      <c r="J15" s="20"/>
      <c r="K15" s="20"/>
      <c r="L15" s="21"/>
      <c r="M15" s="22"/>
      <c r="N15" s="13"/>
      <c r="O15" s="19"/>
      <c r="P15" s="0" t="s">
        <v>35</v>
      </c>
      <c r="Q15" s="15" t="n">
        <f aca="false">Q14/2</f>
        <v>14.4628099173554</v>
      </c>
    </row>
    <row r="16" customFormat="false" ht="14.25" hidden="false" customHeight="false" outlineLevel="0" collapsed="false">
      <c r="A16" s="13"/>
      <c r="B16" s="20"/>
      <c r="C16" s="20"/>
      <c r="D16" s="21"/>
      <c r="E16" s="22"/>
      <c r="F16" s="20"/>
      <c r="G16" s="20"/>
      <c r="H16" s="22"/>
      <c r="I16" s="21"/>
      <c r="J16" s="20"/>
      <c r="K16" s="20"/>
      <c r="L16" s="21"/>
      <c r="M16" s="22"/>
      <c r="N16" s="13"/>
      <c r="O16" s="19"/>
      <c r="P16" s="0" t="s">
        <v>36</v>
      </c>
      <c r="Q16" s="15" t="n">
        <f aca="false">Q14/2</f>
        <v>14.4628099173554</v>
      </c>
    </row>
    <row r="17" customFormat="false" ht="14.25" hidden="false" customHeight="true" outlineLevel="0" collapsed="false">
      <c r="A17" s="13"/>
      <c r="B17" s="11" t="s">
        <v>16</v>
      </c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3"/>
      <c r="O17" s="23" t="s">
        <v>37</v>
      </c>
      <c r="P17" s="0" t="s">
        <v>38</v>
      </c>
      <c r="Q17" s="15" t="n">
        <v>18</v>
      </c>
    </row>
    <row r="18" customFormat="false" ht="15" hidden="false" customHeight="true" outlineLevel="0" collapsed="false">
      <c r="A18" s="13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3"/>
      <c r="O18" s="23"/>
      <c r="Q18" s="15"/>
    </row>
    <row r="19" customFormat="false" ht="14.25" hidden="false" customHeight="false" outlineLevel="0" collapsed="false">
      <c r="A19" s="13"/>
      <c r="B19" s="14" t="s">
        <v>18</v>
      </c>
      <c r="C19" s="14"/>
      <c r="D19" s="2" t="s">
        <v>19</v>
      </c>
      <c r="E19" s="2" t="s">
        <v>20</v>
      </c>
      <c r="F19" s="2" t="s">
        <v>21</v>
      </c>
      <c r="G19" s="2"/>
      <c r="H19" s="2" t="s">
        <v>20</v>
      </c>
      <c r="I19" s="2" t="s">
        <v>19</v>
      </c>
      <c r="J19" s="2" t="s">
        <v>22</v>
      </c>
      <c r="K19" s="2"/>
      <c r="L19" s="2" t="s">
        <v>19</v>
      </c>
      <c r="M19" s="2" t="s">
        <v>20</v>
      </c>
      <c r="N19" s="13"/>
      <c r="P19" s="0" t="s">
        <v>39</v>
      </c>
      <c r="Q19" s="15" t="n">
        <f aca="false">Q12/2</f>
        <v>30</v>
      </c>
    </row>
    <row r="20" customFormat="false" ht="14.25" hidden="false" customHeight="true" outlineLevel="0" collapsed="false">
      <c r="A20" s="13"/>
      <c r="B20" s="20"/>
      <c r="C20" s="20"/>
      <c r="D20" s="21"/>
      <c r="E20" s="22"/>
      <c r="F20" s="20"/>
      <c r="G20" s="20"/>
      <c r="H20" s="22"/>
      <c r="I20" s="21"/>
      <c r="J20" s="20"/>
      <c r="K20" s="20"/>
      <c r="L20" s="21"/>
      <c r="M20" s="22"/>
      <c r="N20" s="13"/>
      <c r="O20" s="19" t="s">
        <v>26</v>
      </c>
      <c r="P20" s="0" t="s">
        <v>40</v>
      </c>
      <c r="Q20" s="0" t="n">
        <v>30</v>
      </c>
    </row>
    <row r="21" customFormat="false" ht="14.25" hidden="false" customHeight="false" outlineLevel="0" collapsed="false">
      <c r="A21" s="13"/>
      <c r="B21" s="20"/>
      <c r="C21" s="20"/>
      <c r="D21" s="21"/>
      <c r="E21" s="22"/>
      <c r="F21" s="20"/>
      <c r="G21" s="20"/>
      <c r="H21" s="22"/>
      <c r="I21" s="21"/>
      <c r="J21" s="20"/>
      <c r="K21" s="20"/>
      <c r="L21" s="21"/>
      <c r="M21" s="22"/>
      <c r="N21" s="13"/>
      <c r="O21" s="19"/>
    </row>
    <row r="22" customFormat="false" ht="14.25" hidden="false" customHeight="false" outlineLevel="0" collapsed="false">
      <c r="A22" s="13"/>
      <c r="B22" s="20"/>
      <c r="C22" s="20"/>
      <c r="D22" s="21"/>
      <c r="E22" s="22"/>
      <c r="F22" s="20"/>
      <c r="G22" s="20"/>
      <c r="H22" s="22"/>
      <c r="I22" s="21"/>
      <c r="J22" s="20"/>
      <c r="K22" s="20"/>
      <c r="L22" s="21"/>
      <c r="M22" s="22"/>
      <c r="N22" s="13"/>
      <c r="O22" s="19"/>
    </row>
    <row r="23" customFormat="false" ht="14.25" hidden="false" customHeight="false" outlineLevel="0" collapsed="false">
      <c r="A23" s="13"/>
      <c r="B23" s="20"/>
      <c r="C23" s="20"/>
      <c r="D23" s="21"/>
      <c r="E23" s="22"/>
      <c r="F23" s="20"/>
      <c r="G23" s="20"/>
      <c r="H23" s="22"/>
      <c r="I23" s="21"/>
      <c r="J23" s="20"/>
      <c r="K23" s="20"/>
      <c r="L23" s="21"/>
      <c r="M23" s="22"/>
      <c r="N23" s="13"/>
      <c r="O23" s="19"/>
    </row>
    <row r="24" customFormat="false" ht="14.25" hidden="false" customHeight="false" outlineLevel="0" collapsed="false">
      <c r="A24" s="13"/>
      <c r="B24" s="20"/>
      <c r="C24" s="20"/>
      <c r="D24" s="21"/>
      <c r="E24" s="22"/>
      <c r="F24" s="20"/>
      <c r="G24" s="20"/>
      <c r="H24" s="22"/>
      <c r="I24" s="21"/>
      <c r="J24" s="20"/>
      <c r="K24" s="20"/>
      <c r="L24" s="21"/>
      <c r="M24" s="22"/>
      <c r="N24" s="13"/>
      <c r="O24" s="19"/>
    </row>
    <row r="25" customFormat="false" ht="14.25" hidden="false" customHeight="false" outlineLevel="0" collapsed="false">
      <c r="A25" s="13"/>
      <c r="B25" s="20"/>
      <c r="C25" s="20"/>
      <c r="D25" s="21"/>
      <c r="E25" s="22"/>
      <c r="F25" s="20"/>
      <c r="G25" s="20"/>
      <c r="H25" s="22"/>
      <c r="I25" s="21"/>
      <c r="J25" s="20"/>
      <c r="K25" s="20"/>
      <c r="L25" s="21"/>
      <c r="M25" s="22"/>
      <c r="N25" s="13"/>
      <c r="O25" s="19"/>
    </row>
    <row r="26" customFormat="false" ht="14.25" hidden="false" customHeight="false" outlineLevel="0" collapsed="false">
      <c r="A26" s="13"/>
      <c r="B26" s="20"/>
      <c r="C26" s="20"/>
      <c r="D26" s="21"/>
      <c r="E26" s="22"/>
      <c r="F26" s="20"/>
      <c r="G26" s="20"/>
      <c r="H26" s="22"/>
      <c r="I26" s="21"/>
      <c r="J26" s="20"/>
      <c r="K26" s="20"/>
      <c r="L26" s="21"/>
      <c r="M26" s="22"/>
      <c r="N26" s="13"/>
      <c r="O26" s="19"/>
    </row>
    <row r="27" customFormat="false" ht="14.25" hidden="false" customHeight="false" outlineLevel="0" collapsed="false">
      <c r="A27" s="13"/>
      <c r="B27" s="20"/>
      <c r="C27" s="20"/>
      <c r="D27" s="21"/>
      <c r="E27" s="22"/>
      <c r="F27" s="20"/>
      <c r="G27" s="20"/>
      <c r="H27" s="22"/>
      <c r="I27" s="21"/>
      <c r="J27" s="20"/>
      <c r="K27" s="20"/>
      <c r="L27" s="21"/>
      <c r="M27" s="22"/>
      <c r="N27" s="13"/>
      <c r="O27" s="19"/>
    </row>
    <row r="28" customFormat="false" ht="14.25" hidden="false" customHeight="false" outlineLevel="0" collapsed="false">
      <c r="A28" s="13"/>
      <c r="B28" s="20"/>
      <c r="C28" s="20"/>
      <c r="D28" s="21"/>
      <c r="E28" s="22"/>
      <c r="F28" s="20"/>
      <c r="G28" s="20"/>
      <c r="H28" s="22"/>
      <c r="I28" s="21"/>
      <c r="J28" s="20"/>
      <c r="K28" s="20"/>
      <c r="L28" s="21"/>
      <c r="M28" s="22"/>
      <c r="N28" s="13"/>
      <c r="O28" s="19"/>
    </row>
    <row r="29" customFormat="false" ht="14.25" hidden="false" customHeight="false" outlineLevel="0" collapsed="false">
      <c r="A29" s="13"/>
      <c r="B29" s="20"/>
      <c r="C29" s="20"/>
      <c r="D29" s="21"/>
      <c r="E29" s="22"/>
      <c r="F29" s="20"/>
      <c r="G29" s="20"/>
      <c r="H29" s="22"/>
      <c r="I29" s="21"/>
      <c r="J29" s="20"/>
      <c r="K29" s="20"/>
      <c r="L29" s="21"/>
      <c r="M29" s="22"/>
      <c r="N29" s="13"/>
      <c r="O29" s="19"/>
    </row>
    <row r="30" customFormat="false" ht="14.25" hidden="false" customHeight="false" outlineLevel="0" collapsed="false">
      <c r="A30" s="13"/>
      <c r="B30" s="20"/>
      <c r="C30" s="20"/>
      <c r="D30" s="21"/>
      <c r="E30" s="22"/>
      <c r="F30" s="20"/>
      <c r="G30" s="20"/>
      <c r="H30" s="22"/>
      <c r="I30" s="21"/>
      <c r="J30" s="20"/>
      <c r="K30" s="20"/>
      <c r="L30" s="21"/>
      <c r="M30" s="22"/>
      <c r="N30" s="13"/>
      <c r="O30" s="19"/>
    </row>
    <row r="31" customFormat="false" ht="14.25" hidden="false" customHeight="false" outlineLevel="0" collapsed="false">
      <c r="A31" s="13"/>
      <c r="B31" s="20"/>
      <c r="C31" s="20"/>
      <c r="D31" s="21"/>
      <c r="E31" s="22"/>
      <c r="F31" s="20"/>
      <c r="G31" s="20"/>
      <c r="H31" s="22"/>
      <c r="I31" s="21"/>
      <c r="J31" s="20"/>
      <c r="K31" s="20"/>
      <c r="L31" s="21"/>
      <c r="M31" s="22"/>
      <c r="N31" s="13"/>
      <c r="O31" s="19"/>
    </row>
    <row r="32" customFormat="false" ht="14.25" hidden="false" customHeight="false" outlineLevel="0" collapsed="false">
      <c r="A32" s="13"/>
      <c r="B32" s="20"/>
      <c r="C32" s="20"/>
      <c r="D32" s="21"/>
      <c r="E32" s="22"/>
      <c r="F32" s="20"/>
      <c r="G32" s="20"/>
      <c r="H32" s="22"/>
      <c r="I32" s="21"/>
      <c r="J32" s="20"/>
      <c r="K32" s="20"/>
      <c r="L32" s="21"/>
      <c r="M32" s="22"/>
      <c r="N32" s="13"/>
      <c r="O32" s="19"/>
    </row>
    <row r="33" customFormat="false" ht="14.25" hidden="false" customHeight="true" outlineLevel="0" collapsed="false">
      <c r="A33" s="13"/>
      <c r="B33" s="11" t="s">
        <v>16</v>
      </c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3"/>
      <c r="O33" s="23" t="s">
        <v>37</v>
      </c>
    </row>
    <row r="34" customFormat="false" ht="14.25" hidden="false" customHeight="false" outlineLevel="0" collapsed="false">
      <c r="A34" s="13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3"/>
      <c r="O34" s="23"/>
    </row>
    <row r="35" customFormat="false" ht="14.25" hidden="false" customHeight="false" outlineLevel="0" collapsed="false">
      <c r="A35" s="13"/>
      <c r="B35" s="14" t="s">
        <v>18</v>
      </c>
      <c r="C35" s="14"/>
      <c r="D35" s="2" t="s">
        <v>19</v>
      </c>
      <c r="E35" s="2" t="s">
        <v>20</v>
      </c>
      <c r="F35" s="2" t="s">
        <v>21</v>
      </c>
      <c r="G35" s="2"/>
      <c r="H35" s="2" t="s">
        <v>20</v>
      </c>
      <c r="I35" s="2" t="s">
        <v>19</v>
      </c>
      <c r="J35" s="2" t="s">
        <v>22</v>
      </c>
      <c r="K35" s="2"/>
      <c r="L35" s="2" t="s">
        <v>19</v>
      </c>
      <c r="M35" s="2" t="s">
        <v>20</v>
      </c>
      <c r="N35" s="13"/>
    </row>
    <row r="36" customFormat="false" ht="14.25" hidden="false" customHeight="false" outlineLevel="0" collapsed="false">
      <c r="A36" s="13"/>
      <c r="B36" s="20"/>
      <c r="C36" s="20"/>
      <c r="D36" s="21"/>
      <c r="E36" s="22"/>
      <c r="F36" s="20"/>
      <c r="G36" s="20"/>
      <c r="H36" s="22"/>
      <c r="I36" s="21"/>
      <c r="J36" s="20"/>
      <c r="K36" s="20"/>
      <c r="L36" s="21"/>
      <c r="M36" s="22"/>
      <c r="N36" s="13"/>
      <c r="O36" s="19" t="s">
        <v>26</v>
      </c>
    </row>
    <row r="37" customFormat="false" ht="14.25" hidden="false" customHeight="false" outlineLevel="0" collapsed="false">
      <c r="A37" s="13"/>
      <c r="B37" s="20"/>
      <c r="C37" s="20"/>
      <c r="D37" s="21"/>
      <c r="E37" s="22"/>
      <c r="F37" s="20"/>
      <c r="G37" s="20"/>
      <c r="H37" s="22"/>
      <c r="I37" s="21"/>
      <c r="J37" s="20"/>
      <c r="K37" s="20"/>
      <c r="L37" s="21"/>
      <c r="M37" s="22"/>
      <c r="N37" s="13"/>
      <c r="O37" s="19"/>
    </row>
    <row r="38" customFormat="false" ht="14.25" hidden="false" customHeight="false" outlineLevel="0" collapsed="false">
      <c r="A38" s="13"/>
      <c r="B38" s="20"/>
      <c r="C38" s="20"/>
      <c r="D38" s="21"/>
      <c r="E38" s="22"/>
      <c r="F38" s="20"/>
      <c r="G38" s="20"/>
      <c r="H38" s="22"/>
      <c r="I38" s="21"/>
      <c r="J38" s="20"/>
      <c r="K38" s="20"/>
      <c r="L38" s="21"/>
      <c r="M38" s="22"/>
      <c r="N38" s="13"/>
      <c r="O38" s="19"/>
    </row>
    <row r="39" customFormat="false" ht="14.25" hidden="false" customHeight="false" outlineLevel="0" collapsed="false">
      <c r="A39" s="13"/>
      <c r="B39" s="20"/>
      <c r="C39" s="20"/>
      <c r="D39" s="21"/>
      <c r="E39" s="22"/>
      <c r="F39" s="20"/>
      <c r="G39" s="20"/>
      <c r="H39" s="22"/>
      <c r="I39" s="21"/>
      <c r="J39" s="20"/>
      <c r="K39" s="20"/>
      <c r="L39" s="21"/>
      <c r="M39" s="22"/>
      <c r="N39" s="13"/>
      <c r="O39" s="19"/>
    </row>
    <row r="40" customFormat="false" ht="14.25" hidden="false" customHeight="false" outlineLevel="0" collapsed="false">
      <c r="A40" s="13"/>
      <c r="B40" s="20"/>
      <c r="C40" s="20"/>
      <c r="D40" s="21"/>
      <c r="E40" s="24"/>
      <c r="F40" s="20"/>
      <c r="G40" s="20"/>
      <c r="H40" s="22"/>
      <c r="I40" s="21"/>
      <c r="J40" s="20"/>
      <c r="K40" s="20"/>
      <c r="L40" s="21"/>
      <c r="M40" s="22"/>
      <c r="N40" s="13"/>
      <c r="O40" s="19"/>
    </row>
    <row r="41" customFormat="false" ht="14.25" hidden="false" customHeight="false" outlineLevel="0" collapsed="false">
      <c r="A41" s="13"/>
      <c r="B41" s="20"/>
      <c r="C41" s="20"/>
      <c r="D41" s="21"/>
      <c r="E41" s="22"/>
      <c r="F41" s="20"/>
      <c r="G41" s="20"/>
      <c r="H41" s="22"/>
      <c r="I41" s="21"/>
      <c r="J41" s="20"/>
      <c r="K41" s="20"/>
      <c r="L41" s="21"/>
      <c r="M41" s="22"/>
      <c r="N41" s="13"/>
      <c r="O41" s="19"/>
    </row>
    <row r="42" customFormat="false" ht="14.25" hidden="false" customHeight="false" outlineLevel="0" collapsed="false">
      <c r="A42" s="13"/>
      <c r="B42" s="20"/>
      <c r="C42" s="20"/>
      <c r="D42" s="21"/>
      <c r="E42" s="22"/>
      <c r="F42" s="20"/>
      <c r="G42" s="20"/>
      <c r="H42" s="22"/>
      <c r="I42" s="21"/>
      <c r="J42" s="20"/>
      <c r="K42" s="20"/>
      <c r="L42" s="21"/>
      <c r="M42" s="22"/>
      <c r="N42" s="13"/>
      <c r="O42" s="19"/>
    </row>
    <row r="43" customFormat="false" ht="14.25" hidden="false" customHeight="false" outlineLevel="0" collapsed="false">
      <c r="A43" s="13"/>
      <c r="B43" s="20"/>
      <c r="C43" s="20"/>
      <c r="D43" s="21"/>
      <c r="E43" s="22"/>
      <c r="F43" s="20"/>
      <c r="G43" s="20"/>
      <c r="H43" s="22"/>
      <c r="I43" s="21"/>
      <c r="J43" s="20"/>
      <c r="K43" s="20"/>
      <c r="L43" s="21"/>
      <c r="M43" s="22"/>
      <c r="N43" s="13"/>
      <c r="O43" s="19"/>
    </row>
    <row r="44" customFormat="false" ht="14.25" hidden="false" customHeight="false" outlineLevel="0" collapsed="false">
      <c r="A44" s="13"/>
      <c r="B44" s="20"/>
      <c r="C44" s="20"/>
      <c r="D44" s="21"/>
      <c r="E44" s="22"/>
      <c r="F44" s="20"/>
      <c r="G44" s="20"/>
      <c r="H44" s="22"/>
      <c r="I44" s="21"/>
      <c r="J44" s="20"/>
      <c r="K44" s="20"/>
      <c r="L44" s="21"/>
      <c r="M44" s="22"/>
      <c r="N44" s="13"/>
      <c r="O44" s="19"/>
    </row>
    <row r="45" customFormat="false" ht="14.25" hidden="false" customHeight="false" outlineLevel="0" collapsed="false">
      <c r="A45" s="13"/>
      <c r="B45" s="20"/>
      <c r="C45" s="20"/>
      <c r="D45" s="21"/>
      <c r="E45" s="22"/>
      <c r="F45" s="20"/>
      <c r="G45" s="20"/>
      <c r="H45" s="22"/>
      <c r="I45" s="21"/>
      <c r="J45" s="20"/>
      <c r="K45" s="20"/>
      <c r="L45" s="21"/>
      <c r="M45" s="22"/>
      <c r="N45" s="13"/>
      <c r="O45" s="19"/>
    </row>
    <row r="46" customFormat="false" ht="14.25" hidden="false" customHeight="false" outlineLevel="0" collapsed="false">
      <c r="A46" s="13"/>
      <c r="B46" s="20"/>
      <c r="C46" s="20"/>
      <c r="D46" s="21"/>
      <c r="E46" s="22"/>
      <c r="F46" s="20"/>
      <c r="G46" s="20"/>
      <c r="H46" s="22"/>
      <c r="I46" s="21"/>
      <c r="J46" s="20"/>
      <c r="K46" s="20"/>
      <c r="L46" s="21"/>
      <c r="M46" s="22"/>
      <c r="N46" s="13"/>
      <c r="O46" s="19"/>
    </row>
    <row r="47" customFormat="false" ht="14.25" hidden="false" customHeight="false" outlineLevel="0" collapsed="false">
      <c r="A47" s="13"/>
      <c r="B47" s="20"/>
      <c r="C47" s="20"/>
      <c r="D47" s="21"/>
      <c r="E47" s="22"/>
      <c r="F47" s="20"/>
      <c r="G47" s="20"/>
      <c r="H47" s="22"/>
      <c r="I47" s="21"/>
      <c r="J47" s="20"/>
      <c r="K47" s="20"/>
      <c r="L47" s="21"/>
      <c r="M47" s="22"/>
      <c r="N47" s="13"/>
      <c r="O47" s="19"/>
    </row>
    <row r="48" customFormat="false" ht="14.25" hidden="false" customHeight="false" outlineLevel="0" collapsed="false">
      <c r="A48" s="13"/>
      <c r="B48" s="20"/>
      <c r="C48" s="20"/>
      <c r="D48" s="21"/>
      <c r="E48" s="22"/>
      <c r="F48" s="20"/>
      <c r="G48" s="20"/>
      <c r="H48" s="22"/>
      <c r="I48" s="21"/>
      <c r="J48" s="20"/>
      <c r="K48" s="20"/>
      <c r="L48" s="21"/>
      <c r="M48" s="22"/>
      <c r="N48" s="13"/>
      <c r="O48" s="19"/>
    </row>
    <row r="49" customFormat="false" ht="14.25" hidden="false" customHeight="true" outlineLevel="0" collapsed="false">
      <c r="A49" s="10"/>
      <c r="B49" s="11" t="s">
        <v>16</v>
      </c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2"/>
      <c r="O49" s="23" t="s">
        <v>37</v>
      </c>
    </row>
    <row r="50" customFormat="false" ht="15" hidden="false" customHeight="true" outlineLevel="0" collapsed="false">
      <c r="A50" s="10"/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2"/>
      <c r="O50" s="23"/>
    </row>
    <row r="52" customFormat="false" ht="14.25" hidden="false" customHeight="false" outlineLevel="0" collapsed="false">
      <c r="B52" s="25" t="s">
        <v>41</v>
      </c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6"/>
    </row>
  </sheetData>
  <mergeCells count="19">
    <mergeCell ref="B1:M2"/>
    <mergeCell ref="A3:A48"/>
    <mergeCell ref="B3:C3"/>
    <mergeCell ref="N3:N48"/>
    <mergeCell ref="B4:C4"/>
    <mergeCell ref="F4:G4"/>
    <mergeCell ref="J4:K4"/>
    <mergeCell ref="O4:O16"/>
    <mergeCell ref="B17:M18"/>
    <mergeCell ref="O17:O18"/>
    <mergeCell ref="B19:C19"/>
    <mergeCell ref="O20:O32"/>
    <mergeCell ref="B33:M34"/>
    <mergeCell ref="O33:O34"/>
    <mergeCell ref="B35:C35"/>
    <mergeCell ref="O36:O48"/>
    <mergeCell ref="B49:M50"/>
    <mergeCell ref="O49:O50"/>
    <mergeCell ref="B52:M52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P1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G19" activeCellId="0" sqref="G19"/>
    </sheetView>
  </sheetViews>
  <sheetFormatPr defaultColWidth="8.390625" defaultRowHeight="14.25" customHeight="true" zeroHeight="false" outlineLevelRow="0" outlineLevelCol="0"/>
  <cols>
    <col collapsed="false" customWidth="true" hidden="false" outlineLevel="0" max="1" min="1" style="0" width="19.73"/>
    <col collapsed="false" customWidth="true" hidden="false" outlineLevel="0" max="3" min="3" style="0" width="12.91"/>
    <col collapsed="false" customWidth="true" hidden="false" outlineLevel="0" max="4" min="4" style="0" width="11"/>
    <col collapsed="false" customWidth="true" hidden="false" outlineLevel="0" max="6" min="6" style="0" width="9.45"/>
    <col collapsed="false" customWidth="true" hidden="false" outlineLevel="0" max="7" min="7" style="0" width="10.09"/>
    <col collapsed="false" customWidth="true" hidden="false" outlineLevel="0" max="8" min="8" style="0" width="9.18"/>
    <col collapsed="false" customWidth="true" hidden="false" outlineLevel="0" max="9" min="9" style="0" width="12.73"/>
    <col collapsed="false" customWidth="true" hidden="false" outlineLevel="0" max="10" min="10" style="0" width="12.54"/>
    <col collapsed="false" customWidth="true" hidden="false" outlineLevel="0" max="11" min="11" style="0" width="13.54"/>
    <col collapsed="false" customWidth="true" hidden="false" outlineLevel="0" max="12" min="12" style="0" width="13.82"/>
    <col collapsed="false" customWidth="true" hidden="false" outlineLevel="0" max="13" min="13" style="0" width="11"/>
    <col collapsed="false" customWidth="true" hidden="false" outlineLevel="0" max="14" min="14" style="0" width="16"/>
  </cols>
  <sheetData>
    <row r="3" customFormat="false" ht="14.25" hidden="false" customHeight="false" outlineLevel="0" collapsed="false">
      <c r="A3" s="0" t="s">
        <v>42</v>
      </c>
      <c r="B3" s="0" t="n">
        <v>150</v>
      </c>
      <c r="C3" s="0" t="s">
        <v>43</v>
      </c>
    </row>
    <row r="4" customFormat="false" ht="14.25" hidden="false" customHeight="false" outlineLevel="0" collapsed="false">
      <c r="A4" s="0" t="s">
        <v>44</v>
      </c>
      <c r="B4" s="0" t="n">
        <v>4</v>
      </c>
    </row>
    <row r="5" customFormat="false" ht="14.25" hidden="false" customHeight="false" outlineLevel="0" collapsed="false">
      <c r="A5" s="0" t="s">
        <v>45</v>
      </c>
      <c r="B5" s="0" t="n">
        <v>8</v>
      </c>
    </row>
    <row r="6" customFormat="false" ht="14.25" hidden="false" customHeight="false" outlineLevel="0" collapsed="false">
      <c r="A6" s="0" t="s">
        <v>46</v>
      </c>
      <c r="B6" s="0" t="n">
        <v>2</v>
      </c>
    </row>
    <row r="7" customFormat="false" ht="14.25" hidden="false" customHeight="false" outlineLevel="0" collapsed="false">
      <c r="H7" s="0" t="s">
        <v>47</v>
      </c>
    </row>
    <row r="8" customFormat="false" ht="14.25" hidden="false" customHeight="false" outlineLevel="0" collapsed="false">
      <c r="A8" s="2" t="s">
        <v>48</v>
      </c>
      <c r="B8" s="2" t="s">
        <v>49</v>
      </c>
      <c r="C8" s="2" t="s">
        <v>50</v>
      </c>
      <c r="D8" s="26" t="s">
        <v>51</v>
      </c>
      <c r="E8" s="26" t="s">
        <v>52</v>
      </c>
      <c r="F8" s="26" t="s">
        <v>53</v>
      </c>
      <c r="G8" s="26" t="s">
        <v>54</v>
      </c>
      <c r="H8" s="26" t="s">
        <v>55</v>
      </c>
      <c r="I8" s="26" t="s">
        <v>56</v>
      </c>
      <c r="J8" s="26" t="s">
        <v>57</v>
      </c>
      <c r="K8" s="26" t="s">
        <v>58</v>
      </c>
      <c r="L8" s="26" t="s">
        <v>59</v>
      </c>
      <c r="M8" s="26" t="s">
        <v>60</v>
      </c>
      <c r="N8" s="26"/>
    </row>
    <row r="9" customFormat="false" ht="14.25" hidden="false" customHeight="false" outlineLevel="0" collapsed="false">
      <c r="A9" s="27" t="n">
        <v>10</v>
      </c>
      <c r="B9" s="6" t="n">
        <f aca="false">A9*B5*B4</f>
        <v>320</v>
      </c>
      <c r="C9" s="6" t="n">
        <f aca="false">B9*B3/43560/B6</f>
        <v>0.550964187327824</v>
      </c>
      <c r="D9" s="6" t="n">
        <f aca="false">C9*43560/10/2</f>
        <v>1200</v>
      </c>
      <c r="E9" s="6" t="n">
        <f aca="false">'10 ft Animal Enterprise'!I4</f>
        <v>3</v>
      </c>
      <c r="F9" s="6" t="n">
        <f aca="false">'10 ft Animal Enterprise'!I5</f>
        <v>3</v>
      </c>
      <c r="G9" s="6" t="n">
        <f aca="false">'10 ft Animal Enterprise'!I6</f>
        <v>3</v>
      </c>
      <c r="H9" s="6" t="n">
        <f aca="false">'10 ft Animal Enterprise'!I7</f>
        <v>150</v>
      </c>
      <c r="I9" s="28" t="n">
        <f aca="false">'10 ft Animal Enterprise'!E21</f>
        <v>6870</v>
      </c>
      <c r="J9" s="28" t="n">
        <f aca="false">I9/C9</f>
        <v>12469.05</v>
      </c>
      <c r="K9" s="28" t="n">
        <f aca="false">'10 ft Animal Enterprise'!B13</f>
        <v>6366.38852444249</v>
      </c>
      <c r="L9" s="28" t="n">
        <f aca="false">I9-K9</f>
        <v>503.61147555751</v>
      </c>
      <c r="M9" s="28" t="n">
        <f aca="false">L9*C9</f>
        <v>277.47188735951</v>
      </c>
    </row>
    <row r="10" customFormat="false" ht="14.25" hidden="false" customHeight="false" outlineLevel="0" collapsed="false">
      <c r="A10" s="27" t="n">
        <v>15</v>
      </c>
      <c r="B10" s="6" t="n">
        <f aca="false">A10*B5*B4</f>
        <v>480</v>
      </c>
      <c r="C10" s="6" t="n">
        <f aca="false">B10*B3/43560/B6</f>
        <v>0.826446280991736</v>
      </c>
      <c r="D10" s="6" t="n">
        <f aca="false">C10*43560/15/2</f>
        <v>1200</v>
      </c>
      <c r="E10" s="6" t="n">
        <f aca="false">'15 Ft Animal Enterprise'!I4</f>
        <v>6</v>
      </c>
      <c r="F10" s="6" t="n">
        <f aca="false">'15 Ft Animal Enterprise'!I5</f>
        <v>0</v>
      </c>
      <c r="G10" s="6" t="n">
        <f aca="false">'15 Ft Animal Enterprise'!I6</f>
        <v>6</v>
      </c>
      <c r="H10" s="6" t="n">
        <f aca="false">'15 Ft Animal Enterprise'!I7</f>
        <v>400</v>
      </c>
      <c r="I10" s="28" t="n">
        <f aca="false">'15 Ft Animal Enterprise'!E21</f>
        <v>13580</v>
      </c>
      <c r="J10" s="28" t="n">
        <f aca="false">I10/C10</f>
        <v>16431.8</v>
      </c>
      <c r="K10" s="28" t="n">
        <f aca="false">'15 Ft Animal Enterprise'!B13</f>
        <v>10296.0047309402</v>
      </c>
      <c r="L10" s="28" t="n">
        <f aca="false">I10-K10</f>
        <v>3283.99526905981</v>
      </c>
      <c r="M10" s="28" t="n">
        <f aca="false">L10*C10</f>
        <v>2714.04567690893</v>
      </c>
    </row>
    <row r="11" customFormat="false" ht="14.25" hidden="false" customHeight="false" outlineLevel="0" collapsed="false">
      <c r="A11" s="27" t="n">
        <v>20</v>
      </c>
      <c r="B11" s="6" t="n">
        <f aca="false">A11*B5*B4</f>
        <v>640</v>
      </c>
      <c r="C11" s="6" t="n">
        <f aca="false">B11*B3/43560/B6</f>
        <v>1.10192837465565</v>
      </c>
      <c r="D11" s="6" t="n">
        <f aca="false">C11*43560/20/2</f>
        <v>1200</v>
      </c>
      <c r="E11" s="6" t="n">
        <f aca="false">'20 ft Animal Enterprise'!I4</f>
        <v>10</v>
      </c>
      <c r="F11" s="6" t="n">
        <f aca="false">'20 ft Animal Enterprise'!I5</f>
        <v>0</v>
      </c>
      <c r="G11" s="6" t="n">
        <f aca="false">'20 ft Animal Enterprise'!I6</f>
        <v>8</v>
      </c>
      <c r="H11" s="6" t="n">
        <f aca="false">'20 ft Animal Enterprise'!I7</f>
        <v>400</v>
      </c>
      <c r="I11" s="28" t="n">
        <f aca="false">'20 ft Animal Enterprise'!E21</f>
        <v>15800</v>
      </c>
      <c r="J11" s="28" t="n">
        <f aca="false">I11/C11</f>
        <v>14338.5</v>
      </c>
      <c r="K11" s="28" t="n">
        <f aca="false">'20 ft Animal Enterprise'!B13</f>
        <v>11601.777048885</v>
      </c>
      <c r="L11" s="28" t="n">
        <f aca="false">I11-K11</f>
        <v>4198.22295111502</v>
      </c>
      <c r="M11" s="28" t="n">
        <f aca="false">L11/C11</f>
        <v>3809.88732813688</v>
      </c>
    </row>
    <row r="13" customFormat="false" ht="14.25" hidden="false" customHeight="false" outlineLevel="0" collapsed="false">
      <c r="E13" s="0" t="s">
        <v>61</v>
      </c>
      <c r="F13" s="6" t="s">
        <v>62</v>
      </c>
      <c r="G13" s="6" t="s">
        <v>63</v>
      </c>
      <c r="H13" s="6" t="s">
        <v>64</v>
      </c>
      <c r="I13" s="0" t="s">
        <v>65</v>
      </c>
      <c r="J13" s="6" t="s">
        <v>62</v>
      </c>
      <c r="K13" s="6" t="s">
        <v>63</v>
      </c>
      <c r="L13" s="6" t="s">
        <v>64</v>
      </c>
      <c r="M13" s="6" t="s">
        <v>66</v>
      </c>
      <c r="N13" s="6" t="s">
        <v>67</v>
      </c>
      <c r="O13" s="6" t="s">
        <v>68</v>
      </c>
      <c r="P13" s="6" t="s">
        <v>69</v>
      </c>
    </row>
    <row r="14" customFormat="false" ht="14.25" hidden="false" customHeight="false" outlineLevel="0" collapsed="false">
      <c r="D14" s="0" t="s">
        <v>70</v>
      </c>
      <c r="E14" s="0" t="n">
        <f aca="false">E9*150/C9</f>
        <v>816.75</v>
      </c>
      <c r="F14" s="0" t="n">
        <f aca="false">E14/1000*40</f>
        <v>32.67</v>
      </c>
      <c r="G14" s="0" t="n">
        <f aca="false">E14/1000*25</f>
        <v>20.41875</v>
      </c>
      <c r="H14" s="0" t="n">
        <f aca="false">E14/1000*35</f>
        <v>28.58625</v>
      </c>
      <c r="I14" s="0" t="n">
        <f aca="false">2500*(H9/1000)</f>
        <v>375</v>
      </c>
      <c r="J14" s="0" t="n">
        <f aca="false">I14/2000*J18</f>
        <v>11.25</v>
      </c>
      <c r="M14" s="0" t="n">
        <f aca="false">G9*300</f>
        <v>900</v>
      </c>
      <c r="N14" s="0" t="n">
        <f aca="false">M14/2000*28</f>
        <v>12.6</v>
      </c>
    </row>
    <row r="15" customFormat="false" ht="14.25" hidden="false" customHeight="false" outlineLevel="0" collapsed="false">
      <c r="D15" s="0" t="s">
        <v>71</v>
      </c>
      <c r="E15" s="0" t="n">
        <f aca="false">E10*150/C10</f>
        <v>1089</v>
      </c>
      <c r="F15" s="0" t="n">
        <f aca="false">E15/1000*40</f>
        <v>43.56</v>
      </c>
      <c r="G15" s="0" t="n">
        <f aca="false">E15/1000*25</f>
        <v>27.225</v>
      </c>
      <c r="H15" s="0" t="n">
        <f aca="false">E15/1000*35</f>
        <v>38.115</v>
      </c>
      <c r="I15" s="0" t="n">
        <f aca="false">2500*(H10/1000)</f>
        <v>1000</v>
      </c>
      <c r="J15" s="0" t="n">
        <f aca="false">I15/2000*J18</f>
        <v>30</v>
      </c>
      <c r="M15" s="0" t="n">
        <f aca="false">G10*300</f>
        <v>1800</v>
      </c>
      <c r="N15" s="0" t="n">
        <f aca="false">M15/2000*28</f>
        <v>25.2</v>
      </c>
    </row>
    <row r="16" customFormat="false" ht="14.25" hidden="false" customHeight="false" outlineLevel="0" collapsed="false">
      <c r="D16" s="0" t="s">
        <v>72</v>
      </c>
      <c r="E16" s="0" t="n">
        <f aca="false">E11*150/C11</f>
        <v>1361.25</v>
      </c>
      <c r="F16" s="0" t="n">
        <f aca="false">E16/1000*40</f>
        <v>54.45</v>
      </c>
      <c r="G16" s="0" t="n">
        <f aca="false">E16/1000*25</f>
        <v>34.03125</v>
      </c>
      <c r="H16" s="0" t="n">
        <f aca="false">E16/1000*35</f>
        <v>47.64375</v>
      </c>
      <c r="I16" s="0" t="n">
        <f aca="false">2500*(H11/1000)</f>
        <v>1000</v>
      </c>
      <c r="J16" s="0" t="n">
        <f aca="false">I16/2000*J18</f>
        <v>30</v>
      </c>
      <c r="M16" s="0" t="n">
        <f aca="false">G11*300</f>
        <v>2400</v>
      </c>
      <c r="N16" s="0" t="n">
        <f aca="false">M16/2000*28</f>
        <v>33.6</v>
      </c>
    </row>
    <row r="18" customFormat="false" ht="14.25" hidden="false" customHeight="false" outlineLevel="0" collapsed="false">
      <c r="J18" s="0" t="n">
        <v>60</v>
      </c>
      <c r="K18" s="0" t="n">
        <v>50</v>
      </c>
      <c r="L18" s="0" t="n">
        <v>50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32"/>
  <sheetViews>
    <sheetView showFormulas="false" showGridLines="true" showRowColHeaders="true" showZeros="true" rightToLeft="false" tabSelected="false" showOutlineSymbols="true" defaultGridColor="true" view="normal" topLeftCell="A3" colorId="64" zoomScale="100" zoomScaleNormal="100" zoomScalePageLayoutView="100" workbookViewId="0">
      <selection pane="topLeft" activeCell="I8" activeCellId="0" sqref="I8"/>
    </sheetView>
  </sheetViews>
  <sheetFormatPr defaultColWidth="8.390625" defaultRowHeight="14.25" customHeight="true" zeroHeight="false" outlineLevelRow="0" outlineLevelCol="0"/>
  <cols>
    <col collapsed="false" customWidth="true" hidden="false" outlineLevel="0" max="1" min="1" style="0" width="25.54"/>
    <col collapsed="false" customWidth="true" hidden="false" outlineLevel="0" max="2" min="2" style="7" width="12.82"/>
    <col collapsed="false" customWidth="true" hidden="false" outlineLevel="0" max="3" min="3" style="0" width="13.82"/>
    <col collapsed="false" customWidth="true" hidden="false" outlineLevel="0" max="4" min="4" style="0" width="10.63"/>
    <col collapsed="false" customWidth="true" hidden="false" outlineLevel="0" max="5" min="5" style="0" width="16.82"/>
    <col collapsed="false" customWidth="true" hidden="false" outlineLevel="0" max="7" min="7" style="0" width="27.45"/>
    <col collapsed="false" customWidth="true" hidden="false" outlineLevel="0" max="8" min="8" style="0" width="14.36"/>
    <col collapsed="false" customWidth="true" hidden="false" outlineLevel="0" max="9" min="9" style="0" width="22.91"/>
    <col collapsed="false" customWidth="true" hidden="false" outlineLevel="0" max="10" min="10" style="7" width="14.36"/>
    <col collapsed="false" customWidth="true" hidden="false" outlineLevel="0" max="11" min="11" style="0" width="22.91"/>
    <col collapsed="false" customWidth="true" hidden="false" outlineLevel="0" max="13" min="13" style="7" width="10.45"/>
  </cols>
  <sheetData>
    <row r="1" customFormat="false" ht="24.45" hidden="false" customHeight="false" outlineLevel="0" collapsed="false">
      <c r="A1" s="29" t="s">
        <v>73</v>
      </c>
      <c r="B1" s="8"/>
      <c r="G1" s="29" t="s">
        <v>74</v>
      </c>
    </row>
    <row r="2" customFormat="false" ht="14.25" hidden="false" customHeight="false" outlineLevel="0" collapsed="false">
      <c r="A2" s="2"/>
      <c r="B2" s="8"/>
    </row>
    <row r="3" customFormat="false" ht="14.25" hidden="false" customHeight="false" outlineLevel="0" collapsed="false">
      <c r="A3" s="30" t="s">
        <v>75</v>
      </c>
      <c r="B3" s="31" t="s">
        <v>76</v>
      </c>
      <c r="G3" s="32" t="s">
        <v>77</v>
      </c>
      <c r="H3" s="33" t="s">
        <v>78</v>
      </c>
      <c r="I3" s="33" t="s">
        <v>79</v>
      </c>
      <c r="J3" s="34" t="s">
        <v>80</v>
      </c>
      <c r="K3" s="33" t="s">
        <v>81</v>
      </c>
      <c r="L3" s="33" t="s">
        <v>82</v>
      </c>
      <c r="M3" s="35" t="s">
        <v>83</v>
      </c>
    </row>
    <row r="4" customFormat="false" ht="14.25" hidden="false" customHeight="false" outlineLevel="0" collapsed="false">
      <c r="A4" s="36" t="s">
        <v>84</v>
      </c>
      <c r="B4" s="37" t="n">
        <v>250</v>
      </c>
      <c r="G4" s="38" t="s">
        <v>85</v>
      </c>
      <c r="H4" s="39" t="n">
        <v>75</v>
      </c>
      <c r="I4" s="40" t="n">
        <v>3</v>
      </c>
      <c r="J4" s="41" t="n">
        <f aca="false">I4*H4</f>
        <v>225</v>
      </c>
      <c r="K4" s="42" t="n">
        <v>700</v>
      </c>
      <c r="L4" s="41" t="n">
        <v>0.2</v>
      </c>
      <c r="M4" s="43" t="n">
        <f aca="false">L4*K4*I4</f>
        <v>420</v>
      </c>
    </row>
    <row r="5" customFormat="false" ht="14.25" hidden="false" customHeight="false" outlineLevel="0" collapsed="false">
      <c r="A5" s="36" t="s">
        <v>86</v>
      </c>
      <c r="B5" s="44" t="n">
        <f aca="false">H19</f>
        <v>1743.88852444249</v>
      </c>
      <c r="G5" s="38" t="s">
        <v>87</v>
      </c>
      <c r="H5" s="39" t="n">
        <v>125</v>
      </c>
      <c r="I5" s="40" t="n">
        <v>3</v>
      </c>
      <c r="J5" s="41" t="n">
        <f aca="false">I5*H5</f>
        <v>375</v>
      </c>
      <c r="K5" s="42" t="n">
        <v>120</v>
      </c>
      <c r="L5" s="42" t="n">
        <v>0.1</v>
      </c>
      <c r="M5" s="43" t="n">
        <f aca="false">L5*K5*I5</f>
        <v>36</v>
      </c>
    </row>
    <row r="6" customFormat="false" ht="14.25" hidden="false" customHeight="false" outlineLevel="0" collapsed="false">
      <c r="A6" s="36" t="s">
        <v>88</v>
      </c>
      <c r="B6" s="37" t="n">
        <v>300</v>
      </c>
      <c r="G6" s="38" t="s">
        <v>89</v>
      </c>
      <c r="H6" s="39" t="n">
        <v>125</v>
      </c>
      <c r="I6" s="40" t="n">
        <v>3</v>
      </c>
      <c r="J6" s="41" t="n">
        <f aca="false">I6*H6</f>
        <v>375</v>
      </c>
      <c r="K6" s="42" t="n">
        <v>120</v>
      </c>
      <c r="L6" s="42" t="n">
        <v>0.1</v>
      </c>
      <c r="M6" s="43" t="n">
        <f aca="false">L6*K6*I6</f>
        <v>36</v>
      </c>
    </row>
    <row r="7" customFormat="false" ht="14.25" hidden="false" customHeight="false" outlineLevel="0" collapsed="false">
      <c r="A7" s="36" t="s">
        <v>90</v>
      </c>
      <c r="B7" s="37" t="n">
        <f aca="false">J9</f>
        <v>1312.5</v>
      </c>
      <c r="G7" s="45" t="s">
        <v>91</v>
      </c>
      <c r="H7" s="46" t="n">
        <v>2.25</v>
      </c>
      <c r="I7" s="47" t="n">
        <v>150</v>
      </c>
      <c r="J7" s="46" t="n">
        <f aca="false">I7*H7</f>
        <v>337.5</v>
      </c>
      <c r="K7" s="42" t="n">
        <v>25</v>
      </c>
      <c r="L7" s="42" t="n">
        <v>0.2</v>
      </c>
      <c r="M7" s="43" t="n">
        <f aca="false">L7*K7*I7</f>
        <v>750</v>
      </c>
    </row>
    <row r="8" customFormat="false" ht="14.25" hidden="false" customHeight="false" outlineLevel="0" collapsed="false">
      <c r="A8" s="36" t="s">
        <v>92</v>
      </c>
      <c r="B8" s="37" t="n">
        <v>80</v>
      </c>
      <c r="G8" s="38"/>
      <c r="H8" s="42"/>
      <c r="I8" s="42"/>
      <c r="J8" s="41"/>
      <c r="K8" s="42"/>
      <c r="L8" s="42"/>
      <c r="M8" s="43"/>
    </row>
    <row r="9" customFormat="false" ht="14.25" hidden="false" customHeight="false" outlineLevel="0" collapsed="false">
      <c r="A9" s="36" t="s">
        <v>93</v>
      </c>
      <c r="B9" s="37" t="n">
        <f aca="false">M9</f>
        <v>1242</v>
      </c>
      <c r="G9" s="48" t="s">
        <v>94</v>
      </c>
      <c r="H9" s="49"/>
      <c r="I9" s="49"/>
      <c r="J9" s="50" t="n">
        <f aca="false">SUM(J4:J7)</f>
        <v>1312.5</v>
      </c>
      <c r="K9" s="51"/>
      <c r="L9" s="51"/>
      <c r="M9" s="52" t="n">
        <f aca="false">SUM(M4:M8)</f>
        <v>1242</v>
      </c>
    </row>
    <row r="10" customFormat="false" ht="14.25" hidden="false" customHeight="false" outlineLevel="0" collapsed="false">
      <c r="A10" s="36" t="s">
        <v>95</v>
      </c>
      <c r="B10" s="37" t="n">
        <f aca="false">K12</f>
        <v>1188</v>
      </c>
    </row>
    <row r="11" customFormat="false" ht="14.25" hidden="false" customHeight="false" outlineLevel="0" collapsed="false">
      <c r="A11" s="53" t="s">
        <v>96</v>
      </c>
      <c r="B11" s="54" t="n">
        <v>250</v>
      </c>
      <c r="G11" s="55" t="s">
        <v>97</v>
      </c>
      <c r="H11" s="56" t="s">
        <v>98</v>
      </c>
      <c r="I11" s="56" t="s">
        <v>99</v>
      </c>
      <c r="J11" s="57" t="s">
        <v>100</v>
      </c>
      <c r="K11" s="58" t="s">
        <v>101</v>
      </c>
    </row>
    <row r="12" customFormat="false" ht="14.25" hidden="false" customHeight="false" outlineLevel="0" collapsed="false">
      <c r="A12" s="36"/>
      <c r="B12" s="37"/>
      <c r="G12" s="59" t="s">
        <v>95</v>
      </c>
      <c r="H12" s="60" t="n">
        <v>0.33</v>
      </c>
      <c r="I12" s="61" t="n">
        <v>30</v>
      </c>
      <c r="J12" s="61" t="n">
        <f aca="false">H12*I12</f>
        <v>9.9</v>
      </c>
      <c r="K12" s="62" t="n">
        <f aca="false">J12*120</f>
        <v>1188</v>
      </c>
    </row>
    <row r="13" customFormat="false" ht="14.25" hidden="false" customHeight="false" outlineLevel="0" collapsed="false">
      <c r="A13" s="63" t="s">
        <v>102</v>
      </c>
      <c r="B13" s="64" t="n">
        <f aca="false">SUM(B4:B12)</f>
        <v>6366.38852444249</v>
      </c>
    </row>
    <row r="14" customFormat="false" ht="14.25" hidden="false" customHeight="false" outlineLevel="0" collapsed="false">
      <c r="G14" s="65" t="s">
        <v>103</v>
      </c>
      <c r="H14" s="66"/>
    </row>
    <row r="15" customFormat="false" ht="14.25" hidden="false" customHeight="false" outlineLevel="0" collapsed="false">
      <c r="G15" s="67" t="s">
        <v>104</v>
      </c>
      <c r="H15" s="68" t="n">
        <v>10000</v>
      </c>
    </row>
    <row r="16" customFormat="false" ht="14.25" hidden="false" customHeight="false" outlineLevel="0" collapsed="false">
      <c r="A16" s="30" t="s">
        <v>105</v>
      </c>
      <c r="B16" s="69" t="s">
        <v>106</v>
      </c>
      <c r="C16" s="70" t="s">
        <v>107</v>
      </c>
      <c r="D16" s="70" t="s">
        <v>108</v>
      </c>
      <c r="E16" s="71" t="s">
        <v>109</v>
      </c>
      <c r="G16" s="67" t="s">
        <v>110</v>
      </c>
      <c r="H16" s="72" t="n">
        <v>7</v>
      </c>
    </row>
    <row r="17" customFormat="false" ht="14.25" hidden="false" customHeight="false" outlineLevel="0" collapsed="false">
      <c r="A17" s="36" t="s">
        <v>111</v>
      </c>
      <c r="B17" s="7" t="n">
        <v>3.5</v>
      </c>
      <c r="C17" s="73" t="n">
        <v>180</v>
      </c>
      <c r="D17" s="74" t="n">
        <f aca="false">C17*B17</f>
        <v>630</v>
      </c>
      <c r="E17" s="75" t="n">
        <f aca="false">D17*I4</f>
        <v>1890</v>
      </c>
      <c r="G17" s="67" t="s">
        <v>112</v>
      </c>
      <c r="H17" s="76" t="n">
        <v>0.0525</v>
      </c>
    </row>
    <row r="18" customFormat="false" ht="14.25" hidden="false" customHeight="false" outlineLevel="0" collapsed="false">
      <c r="A18" s="36" t="s">
        <v>91</v>
      </c>
      <c r="B18" s="7" t="n">
        <v>5</v>
      </c>
      <c r="C18" s="73" t="n">
        <v>4</v>
      </c>
      <c r="D18" s="74" t="n">
        <f aca="false">C18*B18</f>
        <v>20</v>
      </c>
      <c r="E18" s="75" t="n">
        <f aca="false">D18*I7</f>
        <v>3000</v>
      </c>
      <c r="G18" s="67" t="s">
        <v>113</v>
      </c>
      <c r="H18" s="72" t="n">
        <v>0</v>
      </c>
    </row>
    <row r="19" customFormat="false" ht="14.25" hidden="false" customHeight="false" outlineLevel="0" collapsed="false">
      <c r="A19" s="36" t="s">
        <v>114</v>
      </c>
      <c r="B19" s="7" t="n">
        <v>8</v>
      </c>
      <c r="C19" s="73" t="n">
        <v>45</v>
      </c>
      <c r="D19" s="74" t="n">
        <f aca="false">C19*B19</f>
        <v>360</v>
      </c>
      <c r="E19" s="75" t="n">
        <f aca="false">D19*I5</f>
        <v>1080</v>
      </c>
      <c r="G19" s="77" t="s">
        <v>115</v>
      </c>
      <c r="H19" s="78" t="n">
        <f aca="false">PMT(H17,H16,H15,H18)*-1</f>
        <v>1743.88852444249</v>
      </c>
    </row>
    <row r="20" customFormat="false" ht="14.25" hidden="false" customHeight="false" outlineLevel="0" collapsed="false">
      <c r="A20" s="36" t="s">
        <v>116</v>
      </c>
      <c r="B20" s="7" t="n">
        <v>5</v>
      </c>
      <c r="C20" s="73" t="n">
        <v>60</v>
      </c>
      <c r="D20" s="74" t="n">
        <f aca="false">C20*B20</f>
        <v>300</v>
      </c>
      <c r="E20" s="75" t="n">
        <f aca="false">D20*I6</f>
        <v>900</v>
      </c>
    </row>
    <row r="21" customFormat="false" ht="14.25" hidden="false" customHeight="false" outlineLevel="0" collapsed="false">
      <c r="A21" s="79" t="s">
        <v>117</v>
      </c>
      <c r="B21" s="80"/>
      <c r="C21" s="81"/>
      <c r="D21" s="82" t="n">
        <f aca="false">SUM(D17:D20)</f>
        <v>1310</v>
      </c>
      <c r="E21" s="83" t="n">
        <f aca="false">SUM(E17:E20)</f>
        <v>6870</v>
      </c>
    </row>
    <row r="22" customFormat="false" ht="14.25" hidden="false" customHeight="false" outlineLevel="0" collapsed="false">
      <c r="G22" s="84" t="s">
        <v>118</v>
      </c>
    </row>
    <row r="23" customFormat="false" ht="14.25" hidden="false" customHeight="false" outlineLevel="0" collapsed="false">
      <c r="H23" s="0" t="s">
        <v>119</v>
      </c>
      <c r="I23" s="0" t="s">
        <v>120</v>
      </c>
      <c r="J23" s="7" t="s">
        <v>121</v>
      </c>
      <c r="K23" s="0" t="s">
        <v>122</v>
      </c>
      <c r="L23" s="0" t="s">
        <v>123</v>
      </c>
      <c r="M23" s="7" t="s">
        <v>124</v>
      </c>
    </row>
    <row r="24" customFormat="false" ht="14.25" hidden="false" customHeight="false" outlineLevel="0" collapsed="false">
      <c r="A24" s="85" t="s">
        <v>125</v>
      </c>
      <c r="B24" s="86" t="n">
        <f aca="false">(E21-B13)/Sheet1!C9</f>
        <v>914.054828136881</v>
      </c>
      <c r="D24" s="26" t="s">
        <v>126</v>
      </c>
      <c r="G24" s="0" t="s">
        <v>111</v>
      </c>
      <c r="H24" s="0" t="n">
        <v>10</v>
      </c>
      <c r="I24" s="0" t="n">
        <v>2</v>
      </c>
      <c r="J24" s="87" t="n">
        <f aca="false">I4*H24</f>
        <v>30</v>
      </c>
      <c r="K24" s="87" t="n">
        <f aca="false">I24*I4</f>
        <v>6</v>
      </c>
      <c r="L24" s="0" t="n">
        <f aca="false">J24/250</f>
        <v>0.12</v>
      </c>
      <c r="M24" s="7" t="n">
        <f aca="false">K24/50</f>
        <v>0.12</v>
      </c>
    </row>
    <row r="25" customFormat="false" ht="14.25" hidden="false" customHeight="false" outlineLevel="0" collapsed="false">
      <c r="D25" s="88" t="n">
        <f aca="false">Sheet1!C9</f>
        <v>0.550964187327824</v>
      </c>
      <c r="G25" s="0" t="s">
        <v>114</v>
      </c>
      <c r="J25" s="87"/>
      <c r="K25" s="87"/>
    </row>
    <row r="26" customFormat="false" ht="14.25" hidden="false" customHeight="false" outlineLevel="0" collapsed="false">
      <c r="A26" s="0" t="s">
        <v>39</v>
      </c>
      <c r="B26" s="87" t="n">
        <v>30</v>
      </c>
      <c r="G26" s="0" t="s">
        <v>116</v>
      </c>
      <c r="J26" s="87"/>
      <c r="K26" s="87"/>
    </row>
    <row r="27" customFormat="false" ht="14.25" hidden="false" customHeight="false" outlineLevel="0" collapsed="false">
      <c r="B27" s="87"/>
      <c r="J27" s="87"/>
      <c r="K27" s="87"/>
    </row>
    <row r="28" customFormat="false" ht="14.25" hidden="false" customHeight="false" outlineLevel="0" collapsed="false">
      <c r="A28" s="89" t="s">
        <v>127</v>
      </c>
      <c r="B28" s="90"/>
      <c r="G28" s="0" t="s">
        <v>91</v>
      </c>
      <c r="J28" s="87"/>
      <c r="K28" s="87"/>
    </row>
    <row r="29" customFormat="false" ht="14.25" hidden="false" customHeight="false" outlineLevel="0" collapsed="false">
      <c r="A29" s="36" t="s">
        <v>111</v>
      </c>
      <c r="B29" s="91" t="n">
        <f aca="false">I4*B26</f>
        <v>90</v>
      </c>
    </row>
    <row r="30" customFormat="false" ht="14.25" hidden="false" customHeight="false" outlineLevel="0" collapsed="false">
      <c r="A30" s="36" t="s">
        <v>91</v>
      </c>
      <c r="B30" s="91" t="n">
        <f aca="false">I7*B26</f>
        <v>4500</v>
      </c>
    </row>
    <row r="31" customFormat="false" ht="14.25" hidden="false" customHeight="false" outlineLevel="0" collapsed="false">
      <c r="A31" s="36" t="s">
        <v>114</v>
      </c>
      <c r="B31" s="91" t="n">
        <f aca="false">I5*B26</f>
        <v>90</v>
      </c>
    </row>
    <row r="32" customFormat="false" ht="14.25" hidden="false" customHeight="false" outlineLevel="0" collapsed="false">
      <c r="A32" s="92" t="s">
        <v>116</v>
      </c>
      <c r="B32" s="93" t="n">
        <f aca="false">I6*B26</f>
        <v>90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I9" activeCellId="0" sqref="I9"/>
    </sheetView>
  </sheetViews>
  <sheetFormatPr defaultColWidth="8.390625" defaultRowHeight="14.25" customHeight="true" zeroHeight="false" outlineLevelRow="0" outlineLevelCol="0"/>
  <cols>
    <col collapsed="false" customWidth="true" hidden="false" outlineLevel="0" max="1" min="1" style="0" width="25.54"/>
    <col collapsed="false" customWidth="true" hidden="false" outlineLevel="0" max="2" min="2" style="7" width="12.82"/>
    <col collapsed="false" customWidth="true" hidden="false" outlineLevel="0" max="3" min="3" style="0" width="13.82"/>
    <col collapsed="false" customWidth="true" hidden="false" outlineLevel="0" max="4" min="4" style="0" width="12.36"/>
    <col collapsed="false" customWidth="true" hidden="false" outlineLevel="0" max="5" min="5" style="0" width="16.82"/>
    <col collapsed="false" customWidth="true" hidden="false" outlineLevel="0" max="7" min="7" style="0" width="27.45"/>
    <col collapsed="false" customWidth="true" hidden="false" outlineLevel="0" max="8" min="8" style="0" width="14.36"/>
    <col collapsed="false" customWidth="true" hidden="false" outlineLevel="0" max="9" min="9" style="0" width="22.91"/>
    <col collapsed="false" customWidth="true" hidden="false" outlineLevel="0" max="10" min="10" style="7" width="14.36"/>
    <col collapsed="false" customWidth="true" hidden="false" outlineLevel="0" max="11" min="11" style="0" width="22.91"/>
    <col collapsed="false" customWidth="true" hidden="false" outlineLevel="0" max="13" min="13" style="7" width="10.45"/>
  </cols>
  <sheetData>
    <row r="1" customFormat="false" ht="24.45" hidden="false" customHeight="false" outlineLevel="0" collapsed="false">
      <c r="A1" s="29" t="s">
        <v>73</v>
      </c>
      <c r="B1" s="8"/>
      <c r="G1" s="29" t="s">
        <v>74</v>
      </c>
    </row>
    <row r="2" customFormat="false" ht="14.25" hidden="false" customHeight="false" outlineLevel="0" collapsed="false">
      <c r="A2" s="2"/>
      <c r="B2" s="8"/>
    </row>
    <row r="3" customFormat="false" ht="14.25" hidden="false" customHeight="false" outlineLevel="0" collapsed="false">
      <c r="A3" s="30" t="s">
        <v>75</v>
      </c>
      <c r="B3" s="31" t="s">
        <v>76</v>
      </c>
      <c r="G3" s="32" t="s">
        <v>77</v>
      </c>
      <c r="H3" s="33" t="s">
        <v>78</v>
      </c>
      <c r="I3" s="33" t="s">
        <v>79</v>
      </c>
      <c r="J3" s="34" t="s">
        <v>80</v>
      </c>
      <c r="K3" s="33" t="s">
        <v>81</v>
      </c>
      <c r="L3" s="33" t="s">
        <v>82</v>
      </c>
      <c r="M3" s="35" t="s">
        <v>83</v>
      </c>
    </row>
    <row r="4" customFormat="false" ht="14.25" hidden="false" customHeight="false" outlineLevel="0" collapsed="false">
      <c r="A4" s="36" t="s">
        <v>84</v>
      </c>
      <c r="B4" s="37" t="n">
        <v>300</v>
      </c>
      <c r="G4" s="38" t="s">
        <v>85</v>
      </c>
      <c r="H4" s="39" t="n">
        <v>75</v>
      </c>
      <c r="I4" s="40" t="n">
        <v>6</v>
      </c>
      <c r="J4" s="41" t="n">
        <f aca="false">I4*H4</f>
        <v>450</v>
      </c>
      <c r="K4" s="42" t="n">
        <v>700</v>
      </c>
      <c r="L4" s="41" t="n">
        <v>0.22</v>
      </c>
      <c r="M4" s="43" t="n">
        <f aca="false">L4*K4*I4</f>
        <v>924</v>
      </c>
    </row>
    <row r="5" customFormat="false" ht="14.25" hidden="false" customHeight="false" outlineLevel="0" collapsed="false">
      <c r="A5" s="36" t="s">
        <v>86</v>
      </c>
      <c r="B5" s="44" t="n">
        <f aca="false">H19</f>
        <v>2832.00473094019</v>
      </c>
      <c r="G5" s="38" t="s">
        <v>87</v>
      </c>
      <c r="H5" s="39" t="n">
        <v>125</v>
      </c>
      <c r="I5" s="40"/>
      <c r="J5" s="41" t="n">
        <f aca="false">I5*H5</f>
        <v>0</v>
      </c>
      <c r="K5" s="42" t="n">
        <v>120</v>
      </c>
      <c r="L5" s="42" t="n">
        <v>0.1</v>
      </c>
      <c r="M5" s="43" t="n">
        <f aca="false">L5*K5*I5</f>
        <v>0</v>
      </c>
    </row>
    <row r="6" customFormat="false" ht="14.25" hidden="false" customHeight="false" outlineLevel="0" collapsed="false">
      <c r="A6" s="36" t="s">
        <v>88</v>
      </c>
      <c r="B6" s="37" t="n">
        <v>300</v>
      </c>
      <c r="G6" s="38" t="s">
        <v>89</v>
      </c>
      <c r="H6" s="39" t="n">
        <v>150</v>
      </c>
      <c r="I6" s="40" t="n">
        <v>6</v>
      </c>
      <c r="J6" s="41" t="n">
        <f aca="false">I6*H6</f>
        <v>900</v>
      </c>
      <c r="K6" s="42" t="n">
        <v>120</v>
      </c>
      <c r="L6" s="42" t="n">
        <v>0.1</v>
      </c>
      <c r="M6" s="43" t="n">
        <f aca="false">L6*K6*I6</f>
        <v>72</v>
      </c>
    </row>
    <row r="7" customFormat="false" ht="14.25" hidden="false" customHeight="false" outlineLevel="0" collapsed="false">
      <c r="A7" s="36" t="s">
        <v>90</v>
      </c>
      <c r="B7" s="37" t="n">
        <f aca="false">J9</f>
        <v>2150</v>
      </c>
      <c r="G7" s="45" t="s">
        <v>91</v>
      </c>
      <c r="H7" s="46" t="n">
        <v>2</v>
      </c>
      <c r="I7" s="47" t="n">
        <v>400</v>
      </c>
      <c r="J7" s="46" t="n">
        <f aca="false">I7*H7</f>
        <v>800</v>
      </c>
      <c r="K7" s="42" t="n">
        <v>25</v>
      </c>
      <c r="L7" s="42" t="n">
        <v>0.22</v>
      </c>
      <c r="M7" s="43" t="n">
        <f aca="false">L7*K7*I7</f>
        <v>2200</v>
      </c>
    </row>
    <row r="8" customFormat="false" ht="14.25" hidden="false" customHeight="false" outlineLevel="0" collapsed="false">
      <c r="A8" s="36" t="s">
        <v>92</v>
      </c>
      <c r="B8" s="37" t="n">
        <v>80</v>
      </c>
      <c r="G8" s="38"/>
      <c r="H8" s="42"/>
      <c r="I8" s="42"/>
      <c r="J8" s="41"/>
      <c r="K8" s="42"/>
      <c r="L8" s="42"/>
      <c r="M8" s="43"/>
    </row>
    <row r="9" customFormat="false" ht="14.25" hidden="false" customHeight="false" outlineLevel="0" collapsed="false">
      <c r="A9" s="36" t="s">
        <v>93</v>
      </c>
      <c r="B9" s="37" t="n">
        <f aca="false">M9</f>
        <v>3196</v>
      </c>
      <c r="G9" s="48" t="s">
        <v>94</v>
      </c>
      <c r="H9" s="49"/>
      <c r="I9" s="49"/>
      <c r="J9" s="50" t="n">
        <f aca="false">SUM(J4:J7)</f>
        <v>2150</v>
      </c>
      <c r="K9" s="51"/>
      <c r="L9" s="51"/>
      <c r="M9" s="52" t="n">
        <f aca="false">SUM(M4:M8)</f>
        <v>3196</v>
      </c>
    </row>
    <row r="10" customFormat="false" ht="14.25" hidden="false" customHeight="false" outlineLevel="0" collapsed="false">
      <c r="A10" s="36" t="s">
        <v>95</v>
      </c>
      <c r="B10" s="37" t="n">
        <f aca="false">K12</f>
        <v>1188</v>
      </c>
    </row>
    <row r="11" customFormat="false" ht="14.25" hidden="false" customHeight="false" outlineLevel="0" collapsed="false">
      <c r="A11" s="53" t="s">
        <v>96</v>
      </c>
      <c r="B11" s="54" t="n">
        <v>250</v>
      </c>
      <c r="G11" s="55" t="s">
        <v>97</v>
      </c>
      <c r="H11" s="56" t="s">
        <v>98</v>
      </c>
      <c r="I11" s="56" t="s">
        <v>99</v>
      </c>
      <c r="J11" s="57" t="s">
        <v>100</v>
      </c>
      <c r="K11" s="58" t="s">
        <v>101</v>
      </c>
    </row>
    <row r="12" customFormat="false" ht="14.25" hidden="false" customHeight="false" outlineLevel="0" collapsed="false">
      <c r="A12" s="36"/>
      <c r="B12" s="37"/>
      <c r="G12" s="59" t="s">
        <v>95</v>
      </c>
      <c r="H12" s="60" t="n">
        <v>0.33</v>
      </c>
      <c r="I12" s="61" t="n">
        <v>30</v>
      </c>
      <c r="J12" s="61" t="n">
        <f aca="false">H12*I12</f>
        <v>9.9</v>
      </c>
      <c r="K12" s="62" t="n">
        <f aca="false">J12*120</f>
        <v>1188</v>
      </c>
    </row>
    <row r="13" customFormat="false" ht="14.25" hidden="false" customHeight="false" outlineLevel="0" collapsed="false">
      <c r="A13" s="63" t="s">
        <v>102</v>
      </c>
      <c r="B13" s="64" t="n">
        <f aca="false">SUM(B4:B12)</f>
        <v>10296.0047309402</v>
      </c>
    </row>
    <row r="14" customFormat="false" ht="14.25" hidden="false" customHeight="false" outlineLevel="0" collapsed="false">
      <c r="G14" s="65" t="s">
        <v>103</v>
      </c>
      <c r="H14" s="66"/>
    </row>
    <row r="15" customFormat="false" ht="14.25" hidden="false" customHeight="false" outlineLevel="0" collapsed="false">
      <c r="G15" s="67" t="s">
        <v>104</v>
      </c>
      <c r="H15" s="68" t="n">
        <v>15000</v>
      </c>
    </row>
    <row r="16" customFormat="false" ht="14.25" hidden="false" customHeight="false" outlineLevel="0" collapsed="false">
      <c r="A16" s="30" t="s">
        <v>105</v>
      </c>
      <c r="B16" s="69" t="s">
        <v>106</v>
      </c>
      <c r="C16" s="70" t="s">
        <v>107</v>
      </c>
      <c r="D16" s="70" t="s">
        <v>108</v>
      </c>
      <c r="E16" s="71" t="s">
        <v>109</v>
      </c>
      <c r="G16" s="67" t="s">
        <v>110</v>
      </c>
      <c r="H16" s="72" t="n">
        <v>7</v>
      </c>
    </row>
    <row r="17" customFormat="false" ht="14.25" hidden="false" customHeight="false" outlineLevel="0" collapsed="false">
      <c r="A17" s="36" t="s">
        <v>111</v>
      </c>
      <c r="B17" s="7" t="n">
        <v>3.5</v>
      </c>
      <c r="C17" s="73" t="n">
        <v>180</v>
      </c>
      <c r="D17" s="74" t="n">
        <f aca="false">C17*B17</f>
        <v>630</v>
      </c>
      <c r="E17" s="75" t="n">
        <f aca="false">D17*I4</f>
        <v>3780</v>
      </c>
      <c r="G17" s="67" t="s">
        <v>112</v>
      </c>
      <c r="H17" s="76" t="n">
        <v>0.075</v>
      </c>
    </row>
    <row r="18" customFormat="false" ht="14.25" hidden="false" customHeight="false" outlineLevel="0" collapsed="false">
      <c r="A18" s="36" t="s">
        <v>91</v>
      </c>
      <c r="B18" s="7" t="n">
        <v>5</v>
      </c>
      <c r="C18" s="73" t="n">
        <v>4</v>
      </c>
      <c r="D18" s="74" t="n">
        <f aca="false">C18*B18</f>
        <v>20</v>
      </c>
      <c r="E18" s="75" t="n">
        <f aca="false">D18*I7</f>
        <v>8000</v>
      </c>
      <c r="G18" s="67" t="s">
        <v>113</v>
      </c>
      <c r="H18" s="72" t="n">
        <v>0</v>
      </c>
    </row>
    <row r="19" customFormat="false" ht="14.25" hidden="false" customHeight="false" outlineLevel="0" collapsed="false">
      <c r="A19" s="36" t="s">
        <v>114</v>
      </c>
      <c r="B19" s="7" t="n">
        <v>8</v>
      </c>
      <c r="C19" s="73" t="n">
        <v>45</v>
      </c>
      <c r="D19" s="74" t="n">
        <f aca="false">C19*B19</f>
        <v>360</v>
      </c>
      <c r="E19" s="75" t="n">
        <f aca="false">D19*I5</f>
        <v>0</v>
      </c>
      <c r="G19" s="77" t="s">
        <v>115</v>
      </c>
      <c r="H19" s="78" t="n">
        <f aca="false">PMT(H17,H16,H15,H18)*-1</f>
        <v>2832.00473094019</v>
      </c>
    </row>
    <row r="20" customFormat="false" ht="14.25" hidden="false" customHeight="false" outlineLevel="0" collapsed="false">
      <c r="A20" s="36" t="s">
        <v>116</v>
      </c>
      <c r="B20" s="7" t="n">
        <v>5</v>
      </c>
      <c r="C20" s="73" t="n">
        <v>60</v>
      </c>
      <c r="D20" s="74" t="n">
        <f aca="false">C20*B20</f>
        <v>300</v>
      </c>
      <c r="E20" s="75" t="n">
        <f aca="false">D20*I6</f>
        <v>1800</v>
      </c>
    </row>
    <row r="21" customFormat="false" ht="14.25" hidden="false" customHeight="false" outlineLevel="0" collapsed="false">
      <c r="A21" s="79" t="s">
        <v>117</v>
      </c>
      <c r="B21" s="80"/>
      <c r="C21" s="81"/>
      <c r="D21" s="82" t="n">
        <f aca="false">SUM(D17:D20)</f>
        <v>1310</v>
      </c>
      <c r="E21" s="83" t="n">
        <f aca="false">SUM(E17:E20)</f>
        <v>13580</v>
      </c>
    </row>
    <row r="22" customFormat="false" ht="14.25" hidden="false" customHeight="false" outlineLevel="0" collapsed="false">
      <c r="G22" s="84" t="s">
        <v>118</v>
      </c>
    </row>
    <row r="23" customFormat="false" ht="14.25" hidden="false" customHeight="false" outlineLevel="0" collapsed="false">
      <c r="H23" s="0" t="s">
        <v>119</v>
      </c>
      <c r="I23" s="0" t="s">
        <v>120</v>
      </c>
      <c r="J23" s="7" t="s">
        <v>121</v>
      </c>
      <c r="K23" s="0" t="s">
        <v>122</v>
      </c>
      <c r="L23" s="0" t="s">
        <v>123</v>
      </c>
      <c r="M23" s="7" t="s">
        <v>124</v>
      </c>
    </row>
    <row r="24" customFormat="false" ht="14.25" hidden="false" customHeight="false" outlineLevel="0" collapsed="false">
      <c r="A24" s="85" t="s">
        <v>125</v>
      </c>
      <c r="B24" s="86" t="n">
        <f aca="false">(E21-B13)/D25</f>
        <v>3973.63427556237</v>
      </c>
      <c r="D24" s="26" t="s">
        <v>128</v>
      </c>
      <c r="G24" s="0" t="s">
        <v>111</v>
      </c>
      <c r="H24" s="0" t="n">
        <v>10</v>
      </c>
      <c r="I24" s="0" t="n">
        <v>2</v>
      </c>
      <c r="J24" s="87" t="n">
        <f aca="false">I4*H24</f>
        <v>60</v>
      </c>
      <c r="K24" s="87" t="n">
        <f aca="false">I24*I4</f>
        <v>12</v>
      </c>
      <c r="L24" s="0" t="n">
        <f aca="false">J24/250</f>
        <v>0.24</v>
      </c>
      <c r="M24" s="7" t="n">
        <f aca="false">K24/50</f>
        <v>0.24</v>
      </c>
    </row>
    <row r="25" customFormat="false" ht="14.25" hidden="false" customHeight="false" outlineLevel="0" collapsed="false">
      <c r="D25" s="88" t="n">
        <f aca="false">Sheet1!C10</f>
        <v>0.826446280991736</v>
      </c>
      <c r="G25" s="0" t="s">
        <v>114</v>
      </c>
      <c r="J25" s="87"/>
      <c r="K25" s="87"/>
    </row>
    <row r="26" customFormat="false" ht="14.25" hidden="false" customHeight="false" outlineLevel="0" collapsed="false">
      <c r="A26" s="0" t="s">
        <v>39</v>
      </c>
      <c r="B26" s="87" t="n">
        <v>30</v>
      </c>
      <c r="G26" s="0" t="s">
        <v>116</v>
      </c>
      <c r="J26" s="87"/>
      <c r="K26" s="87"/>
    </row>
    <row r="27" customFormat="false" ht="14.25" hidden="false" customHeight="false" outlineLevel="0" collapsed="false">
      <c r="B27" s="87"/>
      <c r="J27" s="87"/>
      <c r="K27" s="87"/>
    </row>
    <row r="28" customFormat="false" ht="14.25" hidden="false" customHeight="false" outlineLevel="0" collapsed="false">
      <c r="A28" s="89" t="s">
        <v>127</v>
      </c>
      <c r="B28" s="90"/>
      <c r="G28" s="0" t="s">
        <v>91</v>
      </c>
      <c r="J28" s="87"/>
      <c r="K28" s="87"/>
    </row>
    <row r="29" customFormat="false" ht="14.25" hidden="false" customHeight="false" outlineLevel="0" collapsed="false">
      <c r="A29" s="36" t="s">
        <v>111</v>
      </c>
      <c r="B29" s="91" t="n">
        <f aca="false">I4*B26</f>
        <v>180</v>
      </c>
    </row>
    <row r="30" customFormat="false" ht="14.25" hidden="false" customHeight="false" outlineLevel="0" collapsed="false">
      <c r="A30" s="36" t="s">
        <v>91</v>
      </c>
      <c r="B30" s="91" t="n">
        <f aca="false">I7*B26</f>
        <v>12000</v>
      </c>
    </row>
    <row r="31" customFormat="false" ht="14.25" hidden="false" customHeight="false" outlineLevel="0" collapsed="false">
      <c r="A31" s="36" t="s">
        <v>114</v>
      </c>
      <c r="B31" s="91" t="n">
        <f aca="false">I5*B26</f>
        <v>0</v>
      </c>
    </row>
    <row r="32" customFormat="false" ht="14.25" hidden="false" customHeight="false" outlineLevel="0" collapsed="false">
      <c r="A32" s="92" t="s">
        <v>116</v>
      </c>
      <c r="B32" s="93" t="n">
        <f aca="false">I6*B26</f>
        <v>180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I6" activeCellId="0" sqref="I6"/>
    </sheetView>
  </sheetViews>
  <sheetFormatPr defaultColWidth="8.390625" defaultRowHeight="14.25" customHeight="true" zeroHeight="false" outlineLevelRow="0" outlineLevelCol="0"/>
  <cols>
    <col collapsed="false" customWidth="true" hidden="false" outlineLevel="0" max="1" min="1" style="0" width="25.54"/>
    <col collapsed="false" customWidth="true" hidden="false" outlineLevel="0" max="2" min="2" style="7" width="12.82"/>
    <col collapsed="false" customWidth="true" hidden="false" outlineLevel="0" max="3" min="3" style="0" width="13.82"/>
    <col collapsed="false" customWidth="true" hidden="false" outlineLevel="0" max="4" min="4" style="0" width="10.63"/>
    <col collapsed="false" customWidth="true" hidden="false" outlineLevel="0" max="5" min="5" style="0" width="16.82"/>
    <col collapsed="false" customWidth="true" hidden="false" outlineLevel="0" max="7" min="7" style="0" width="27.45"/>
    <col collapsed="false" customWidth="true" hidden="false" outlineLevel="0" max="8" min="8" style="0" width="14.36"/>
    <col collapsed="false" customWidth="true" hidden="false" outlineLevel="0" max="9" min="9" style="0" width="22.91"/>
    <col collapsed="false" customWidth="true" hidden="false" outlineLevel="0" max="10" min="10" style="7" width="14.36"/>
    <col collapsed="false" customWidth="true" hidden="false" outlineLevel="0" max="11" min="11" style="0" width="22.91"/>
    <col collapsed="false" customWidth="true" hidden="false" outlineLevel="0" max="13" min="13" style="7" width="10.45"/>
  </cols>
  <sheetData>
    <row r="1" customFormat="false" ht="24.45" hidden="false" customHeight="false" outlineLevel="0" collapsed="false">
      <c r="A1" s="29" t="s">
        <v>73</v>
      </c>
      <c r="B1" s="8"/>
      <c r="G1" s="29" t="s">
        <v>74</v>
      </c>
    </row>
    <row r="2" customFormat="false" ht="14.25" hidden="false" customHeight="false" outlineLevel="0" collapsed="false">
      <c r="A2" s="2"/>
      <c r="B2" s="8"/>
    </row>
    <row r="3" customFormat="false" ht="14.25" hidden="false" customHeight="false" outlineLevel="0" collapsed="false">
      <c r="A3" s="30" t="s">
        <v>75</v>
      </c>
      <c r="B3" s="31" t="s">
        <v>76</v>
      </c>
      <c r="G3" s="32" t="s">
        <v>77</v>
      </c>
      <c r="H3" s="33" t="s">
        <v>78</v>
      </c>
      <c r="I3" s="33" t="s">
        <v>79</v>
      </c>
      <c r="J3" s="34" t="s">
        <v>80</v>
      </c>
      <c r="K3" s="33" t="s">
        <v>81</v>
      </c>
      <c r="L3" s="33" t="s">
        <v>82</v>
      </c>
      <c r="M3" s="35" t="s">
        <v>83</v>
      </c>
    </row>
    <row r="4" customFormat="false" ht="14.25" hidden="false" customHeight="false" outlineLevel="0" collapsed="false">
      <c r="A4" s="36" t="s">
        <v>84</v>
      </c>
      <c r="B4" s="37" t="n">
        <v>250</v>
      </c>
      <c r="G4" s="38" t="s">
        <v>85</v>
      </c>
      <c r="H4" s="39" t="n">
        <v>75</v>
      </c>
      <c r="I4" s="40" t="n">
        <v>10</v>
      </c>
      <c r="J4" s="41" t="n">
        <f aca="false">I4*H4</f>
        <v>750</v>
      </c>
      <c r="K4" s="42" t="n">
        <v>700</v>
      </c>
      <c r="L4" s="41" t="n">
        <v>0.2</v>
      </c>
      <c r="M4" s="43" t="n">
        <f aca="false">L4*K4*I4</f>
        <v>1400</v>
      </c>
    </row>
    <row r="5" customFormat="false" ht="14.25" hidden="false" customHeight="false" outlineLevel="0" collapsed="false">
      <c r="A5" s="36" t="s">
        <v>86</v>
      </c>
      <c r="B5" s="44" t="n">
        <f aca="false">H19</f>
        <v>3487.77704888498</v>
      </c>
      <c r="G5" s="38" t="s">
        <v>87</v>
      </c>
      <c r="H5" s="39" t="n">
        <v>125</v>
      </c>
      <c r="I5" s="40"/>
      <c r="J5" s="41" t="n">
        <f aca="false">I5*H5</f>
        <v>0</v>
      </c>
      <c r="K5" s="42" t="n">
        <v>120</v>
      </c>
      <c r="L5" s="42" t="n">
        <v>0.1</v>
      </c>
      <c r="M5" s="43" t="n">
        <f aca="false">L5*K5*I5</f>
        <v>0</v>
      </c>
    </row>
    <row r="6" customFormat="false" ht="14.25" hidden="false" customHeight="false" outlineLevel="0" collapsed="false">
      <c r="A6" s="36" t="s">
        <v>88</v>
      </c>
      <c r="B6" s="37" t="n">
        <v>300</v>
      </c>
      <c r="G6" s="38" t="s">
        <v>89</v>
      </c>
      <c r="H6" s="39" t="n">
        <v>125</v>
      </c>
      <c r="I6" s="40" t="n">
        <v>8</v>
      </c>
      <c r="J6" s="41" t="n">
        <f aca="false">I6*H6</f>
        <v>1000</v>
      </c>
      <c r="K6" s="42" t="n">
        <v>120</v>
      </c>
      <c r="L6" s="42" t="n">
        <v>0.1</v>
      </c>
      <c r="M6" s="43" t="n">
        <f aca="false">L6*K6*I6</f>
        <v>96</v>
      </c>
    </row>
    <row r="7" customFormat="false" ht="14.25" hidden="false" customHeight="false" outlineLevel="0" collapsed="false">
      <c r="A7" s="36" t="s">
        <v>90</v>
      </c>
      <c r="B7" s="37" t="n">
        <f aca="false">J9</f>
        <v>2550</v>
      </c>
      <c r="G7" s="45" t="s">
        <v>91</v>
      </c>
      <c r="H7" s="46" t="n">
        <v>2</v>
      </c>
      <c r="I7" s="47" t="n">
        <v>400</v>
      </c>
      <c r="J7" s="46" t="n">
        <f aca="false">I7*H7</f>
        <v>800</v>
      </c>
      <c r="K7" s="42" t="n">
        <v>25</v>
      </c>
      <c r="L7" s="42" t="n">
        <v>0.2</v>
      </c>
      <c r="M7" s="43" t="n">
        <f aca="false">L7*K7*I7</f>
        <v>2000</v>
      </c>
    </row>
    <row r="8" customFormat="false" ht="14.25" hidden="false" customHeight="false" outlineLevel="0" collapsed="false">
      <c r="A8" s="36" t="s">
        <v>92</v>
      </c>
      <c r="B8" s="37" t="n">
        <v>80</v>
      </c>
      <c r="G8" s="38"/>
      <c r="H8" s="42"/>
      <c r="I8" s="42"/>
      <c r="J8" s="41"/>
      <c r="K8" s="42"/>
      <c r="L8" s="42"/>
      <c r="M8" s="43"/>
    </row>
    <row r="9" customFormat="false" ht="14.25" hidden="false" customHeight="false" outlineLevel="0" collapsed="false">
      <c r="A9" s="36" t="s">
        <v>93</v>
      </c>
      <c r="B9" s="37" t="n">
        <f aca="false">M9</f>
        <v>3496</v>
      </c>
      <c r="G9" s="48" t="s">
        <v>94</v>
      </c>
      <c r="H9" s="49"/>
      <c r="I9" s="49"/>
      <c r="J9" s="50" t="n">
        <f aca="false">SUM(J4:J7)</f>
        <v>2550</v>
      </c>
      <c r="K9" s="51"/>
      <c r="L9" s="51"/>
      <c r="M9" s="52" t="n">
        <f aca="false">SUM(M4:M8)</f>
        <v>3496</v>
      </c>
    </row>
    <row r="10" customFormat="false" ht="14.25" hidden="false" customHeight="false" outlineLevel="0" collapsed="false">
      <c r="A10" s="36" t="s">
        <v>95</v>
      </c>
      <c r="B10" s="37" t="n">
        <f aca="false">K12</f>
        <v>1188</v>
      </c>
    </row>
    <row r="11" customFormat="false" ht="14.25" hidden="false" customHeight="false" outlineLevel="0" collapsed="false">
      <c r="A11" s="53" t="s">
        <v>96</v>
      </c>
      <c r="B11" s="54" t="n">
        <v>250</v>
      </c>
      <c r="G11" s="55" t="s">
        <v>97</v>
      </c>
      <c r="H11" s="56" t="s">
        <v>98</v>
      </c>
      <c r="I11" s="56" t="s">
        <v>99</v>
      </c>
      <c r="J11" s="57" t="s">
        <v>100</v>
      </c>
      <c r="K11" s="58" t="s">
        <v>101</v>
      </c>
    </row>
    <row r="12" customFormat="false" ht="14.25" hidden="false" customHeight="false" outlineLevel="0" collapsed="false">
      <c r="A12" s="36"/>
      <c r="B12" s="37"/>
      <c r="G12" s="59" t="s">
        <v>95</v>
      </c>
      <c r="H12" s="60" t="n">
        <v>0.33</v>
      </c>
      <c r="I12" s="61" t="n">
        <v>30</v>
      </c>
      <c r="J12" s="61" t="n">
        <f aca="false">H12*I12</f>
        <v>9.9</v>
      </c>
      <c r="K12" s="62" t="n">
        <f aca="false">J12*120</f>
        <v>1188</v>
      </c>
    </row>
    <row r="13" customFormat="false" ht="14.25" hidden="false" customHeight="false" outlineLevel="0" collapsed="false">
      <c r="A13" s="63" t="s">
        <v>102</v>
      </c>
      <c r="B13" s="64" t="n">
        <f aca="false">SUM(B4:B12)</f>
        <v>11601.777048885</v>
      </c>
    </row>
    <row r="14" customFormat="false" ht="14.25" hidden="false" customHeight="false" outlineLevel="0" collapsed="false">
      <c r="G14" s="65" t="s">
        <v>103</v>
      </c>
      <c r="H14" s="66"/>
    </row>
    <row r="15" customFormat="false" ht="14.25" hidden="false" customHeight="false" outlineLevel="0" collapsed="false">
      <c r="G15" s="67" t="s">
        <v>104</v>
      </c>
      <c r="H15" s="68" t="n">
        <v>20000</v>
      </c>
    </row>
    <row r="16" customFormat="false" ht="14.25" hidden="false" customHeight="false" outlineLevel="0" collapsed="false">
      <c r="A16" s="30" t="s">
        <v>105</v>
      </c>
      <c r="B16" s="69" t="s">
        <v>106</v>
      </c>
      <c r="C16" s="70" t="s">
        <v>107</v>
      </c>
      <c r="D16" s="70" t="s">
        <v>108</v>
      </c>
      <c r="E16" s="71" t="s">
        <v>109</v>
      </c>
      <c r="G16" s="67" t="s">
        <v>110</v>
      </c>
      <c r="H16" s="72" t="n">
        <v>7</v>
      </c>
    </row>
    <row r="17" customFormat="false" ht="14.25" hidden="false" customHeight="false" outlineLevel="0" collapsed="false">
      <c r="A17" s="36" t="s">
        <v>111</v>
      </c>
      <c r="B17" s="7" t="n">
        <v>3</v>
      </c>
      <c r="C17" s="73" t="n">
        <v>180</v>
      </c>
      <c r="D17" s="74" t="n">
        <f aca="false">C17*B17</f>
        <v>540</v>
      </c>
      <c r="E17" s="75" t="n">
        <f aca="false">D17*I4</f>
        <v>5400</v>
      </c>
      <c r="G17" s="67" t="s">
        <v>112</v>
      </c>
      <c r="H17" s="76" t="n">
        <v>0.0525</v>
      </c>
    </row>
    <row r="18" customFormat="false" ht="14.25" hidden="false" customHeight="false" outlineLevel="0" collapsed="false">
      <c r="A18" s="36" t="s">
        <v>91</v>
      </c>
      <c r="B18" s="7" t="n">
        <v>5</v>
      </c>
      <c r="C18" s="73" t="n">
        <v>4</v>
      </c>
      <c r="D18" s="74" t="n">
        <f aca="false">C18*B18</f>
        <v>20</v>
      </c>
      <c r="E18" s="75" t="n">
        <f aca="false">D18*I7</f>
        <v>8000</v>
      </c>
      <c r="G18" s="67" t="s">
        <v>113</v>
      </c>
      <c r="H18" s="72" t="n">
        <v>0</v>
      </c>
    </row>
    <row r="19" customFormat="false" ht="14.25" hidden="false" customHeight="false" outlineLevel="0" collapsed="false">
      <c r="A19" s="36" t="s">
        <v>114</v>
      </c>
      <c r="B19" s="7" t="n">
        <v>8</v>
      </c>
      <c r="C19" s="73" t="n">
        <v>45</v>
      </c>
      <c r="D19" s="74" t="n">
        <f aca="false">C19*B19</f>
        <v>360</v>
      </c>
      <c r="E19" s="75" t="n">
        <f aca="false">D19*I5</f>
        <v>0</v>
      </c>
      <c r="G19" s="77" t="s">
        <v>115</v>
      </c>
      <c r="H19" s="78" t="n">
        <f aca="false">PMT(H17,H16,H15,H18)*-1</f>
        <v>3487.77704888498</v>
      </c>
    </row>
    <row r="20" customFormat="false" ht="14.25" hidden="false" customHeight="false" outlineLevel="0" collapsed="false">
      <c r="A20" s="36" t="s">
        <v>116</v>
      </c>
      <c r="B20" s="7" t="n">
        <v>5</v>
      </c>
      <c r="C20" s="73" t="n">
        <v>60</v>
      </c>
      <c r="D20" s="74" t="n">
        <f aca="false">C20*B20</f>
        <v>300</v>
      </c>
      <c r="E20" s="75" t="n">
        <f aca="false">D20*I6</f>
        <v>2400</v>
      </c>
    </row>
    <row r="21" customFormat="false" ht="14.25" hidden="false" customHeight="false" outlineLevel="0" collapsed="false">
      <c r="A21" s="79" t="s">
        <v>117</v>
      </c>
      <c r="B21" s="80"/>
      <c r="C21" s="81"/>
      <c r="D21" s="82" t="n">
        <f aca="false">SUM(D17:D20)</f>
        <v>1220</v>
      </c>
      <c r="E21" s="83" t="n">
        <f aca="false">SUM(E17:E20)</f>
        <v>15800</v>
      </c>
    </row>
    <row r="22" customFormat="false" ht="14.25" hidden="false" customHeight="false" outlineLevel="0" collapsed="false">
      <c r="G22" s="84" t="s">
        <v>118</v>
      </c>
    </row>
    <row r="23" customFormat="false" ht="14.25" hidden="false" customHeight="false" outlineLevel="0" collapsed="false">
      <c r="H23" s="0" t="s">
        <v>119</v>
      </c>
      <c r="I23" s="0" t="s">
        <v>120</v>
      </c>
      <c r="J23" s="7" t="s">
        <v>121</v>
      </c>
      <c r="K23" s="0" t="s">
        <v>122</v>
      </c>
      <c r="L23" s="0" t="s">
        <v>123</v>
      </c>
      <c r="M23" s="7" t="s">
        <v>124</v>
      </c>
    </row>
    <row r="24" customFormat="false" ht="14.25" hidden="false" customHeight="false" outlineLevel="0" collapsed="false">
      <c r="A24" s="85" t="s">
        <v>125</v>
      </c>
      <c r="B24" s="86" t="n">
        <f aca="false">(E21-B13)/D25</f>
        <v>3809.88732813688</v>
      </c>
      <c r="D24" s="26" t="s">
        <v>128</v>
      </c>
      <c r="G24" s="0" t="s">
        <v>111</v>
      </c>
      <c r="H24" s="0" t="n">
        <v>10</v>
      </c>
      <c r="I24" s="0" t="n">
        <v>2</v>
      </c>
      <c r="J24" s="87" t="n">
        <f aca="false">I4*H24</f>
        <v>100</v>
      </c>
      <c r="K24" s="87" t="n">
        <f aca="false">I24*I4</f>
        <v>20</v>
      </c>
      <c r="L24" s="0" t="n">
        <f aca="false">J24/250</f>
        <v>0.4</v>
      </c>
      <c r="M24" s="7" t="n">
        <f aca="false">K24/50</f>
        <v>0.4</v>
      </c>
    </row>
    <row r="25" customFormat="false" ht="14.25" hidden="false" customHeight="false" outlineLevel="0" collapsed="false">
      <c r="D25" s="88" t="n">
        <f aca="false">Sheet1!C11</f>
        <v>1.10192837465565</v>
      </c>
      <c r="G25" s="0" t="s">
        <v>114</v>
      </c>
      <c r="J25" s="87"/>
      <c r="K25" s="87"/>
    </row>
    <row r="26" customFormat="false" ht="14.25" hidden="false" customHeight="false" outlineLevel="0" collapsed="false">
      <c r="A26" s="0" t="s">
        <v>39</v>
      </c>
      <c r="B26" s="87" t="n">
        <v>30</v>
      </c>
      <c r="G26" s="0" t="s">
        <v>116</v>
      </c>
      <c r="J26" s="87"/>
      <c r="K26" s="87"/>
    </row>
    <row r="27" customFormat="false" ht="14.25" hidden="false" customHeight="false" outlineLevel="0" collapsed="false">
      <c r="B27" s="87"/>
      <c r="J27" s="87"/>
      <c r="K27" s="87"/>
    </row>
    <row r="28" customFormat="false" ht="14.25" hidden="false" customHeight="false" outlineLevel="0" collapsed="false">
      <c r="A28" s="89" t="s">
        <v>127</v>
      </c>
      <c r="B28" s="90"/>
      <c r="G28" s="0" t="s">
        <v>91</v>
      </c>
      <c r="J28" s="87"/>
      <c r="K28" s="87"/>
    </row>
    <row r="29" customFormat="false" ht="14.25" hidden="false" customHeight="false" outlineLevel="0" collapsed="false">
      <c r="A29" s="36" t="s">
        <v>111</v>
      </c>
      <c r="B29" s="91" t="n">
        <f aca="false">I4*B26</f>
        <v>300</v>
      </c>
    </row>
    <row r="30" customFormat="false" ht="14.25" hidden="false" customHeight="false" outlineLevel="0" collapsed="false">
      <c r="A30" s="36" t="s">
        <v>91</v>
      </c>
      <c r="B30" s="91" t="n">
        <f aca="false">I7*B26</f>
        <v>12000</v>
      </c>
    </row>
    <row r="31" customFormat="false" ht="14.25" hidden="false" customHeight="false" outlineLevel="0" collapsed="false">
      <c r="A31" s="36" t="s">
        <v>114</v>
      </c>
      <c r="B31" s="91" t="n">
        <f aca="false">I5*B26</f>
        <v>0</v>
      </c>
    </row>
    <row r="32" customFormat="false" ht="14.25" hidden="false" customHeight="false" outlineLevel="0" collapsed="false">
      <c r="A32" s="92" t="s">
        <v>116</v>
      </c>
      <c r="B32" s="93" t="n">
        <f aca="false">I6*B26</f>
        <v>240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2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23" activeCellId="0" sqref="E23"/>
    </sheetView>
  </sheetViews>
  <sheetFormatPr defaultColWidth="8.390625" defaultRowHeight="14.25" customHeight="true" zeroHeight="false" outlineLevelRow="0" outlineLevelCol="0"/>
  <cols>
    <col collapsed="false" customWidth="true" hidden="false" outlineLevel="0" max="1" min="1" style="0" width="21"/>
    <col collapsed="false" customWidth="true" hidden="false" outlineLevel="0" max="2" min="2" style="0" width="10.54"/>
    <col collapsed="false" customWidth="true" hidden="false" outlineLevel="0" max="4" min="4" style="0" width="21"/>
    <col collapsed="false" customWidth="true" hidden="false" outlineLevel="0" max="5" min="5" style="0" width="10.54"/>
  </cols>
  <sheetData>
    <row r="1" customFormat="false" ht="24.45" hidden="false" customHeight="false" outlineLevel="0" collapsed="false">
      <c r="A1" s="94" t="s">
        <v>19</v>
      </c>
      <c r="B1" s="21"/>
      <c r="D1" s="95" t="s">
        <v>20</v>
      </c>
      <c r="E1" s="96"/>
    </row>
    <row r="2" customFormat="false" ht="14.25" hidden="false" customHeight="false" outlineLevel="0" collapsed="false">
      <c r="A2" s="21"/>
      <c r="B2" s="21"/>
      <c r="D2" s="96"/>
      <c r="E2" s="96"/>
    </row>
    <row r="3" customFormat="false" ht="15" hidden="false" customHeight="false" outlineLevel="0" collapsed="false">
      <c r="A3" s="97" t="s">
        <v>129</v>
      </c>
      <c r="B3" s="98"/>
      <c r="D3" s="99" t="s">
        <v>129</v>
      </c>
      <c r="E3" s="100"/>
    </row>
    <row r="4" customFormat="false" ht="14.25" hidden="false" customHeight="false" outlineLevel="0" collapsed="false">
      <c r="A4" s="101" t="s">
        <v>130</v>
      </c>
      <c r="B4" s="102" t="n">
        <v>80</v>
      </c>
      <c r="D4" s="96"/>
      <c r="E4" s="96"/>
    </row>
    <row r="5" customFormat="false" ht="14.25" hidden="false" customHeight="false" outlineLevel="0" collapsed="false">
      <c r="A5" s="103" t="s">
        <v>131</v>
      </c>
      <c r="B5" s="102" t="n">
        <v>100</v>
      </c>
      <c r="D5" s="104" t="s">
        <v>131</v>
      </c>
      <c r="E5" s="105" t="n">
        <v>50</v>
      </c>
    </row>
    <row r="6" customFormat="false" ht="14.25" hidden="false" customHeight="false" outlineLevel="0" collapsed="false">
      <c r="A6" s="103" t="s">
        <v>132</v>
      </c>
      <c r="B6" s="102" t="n">
        <v>16</v>
      </c>
      <c r="D6" s="104" t="s">
        <v>132</v>
      </c>
      <c r="E6" s="105" t="n">
        <v>16</v>
      </c>
    </row>
    <row r="7" customFormat="false" ht="14.25" hidden="false" customHeight="false" outlineLevel="0" collapsed="false">
      <c r="A7" s="103" t="s">
        <v>95</v>
      </c>
      <c r="B7" s="102" t="n">
        <v>50</v>
      </c>
      <c r="D7" s="104" t="s">
        <v>95</v>
      </c>
      <c r="E7" s="105" t="n">
        <v>50</v>
      </c>
    </row>
    <row r="8" customFormat="false" ht="15" hidden="false" customHeight="true" outlineLevel="0" collapsed="false">
      <c r="A8" s="103" t="s">
        <v>133</v>
      </c>
      <c r="B8" s="102" t="n">
        <v>30</v>
      </c>
      <c r="D8" s="104" t="s">
        <v>133</v>
      </c>
      <c r="E8" s="105" t="n">
        <v>30</v>
      </c>
    </row>
    <row r="9" customFormat="false" ht="14.25" hidden="false" customHeight="false" outlineLevel="0" collapsed="false">
      <c r="A9" s="103" t="s">
        <v>134</v>
      </c>
      <c r="B9" s="102" t="n">
        <v>20</v>
      </c>
      <c r="D9" s="104" t="s">
        <v>134</v>
      </c>
      <c r="E9" s="105"/>
    </row>
    <row r="10" customFormat="false" ht="14.25" hidden="false" customHeight="false" outlineLevel="0" collapsed="false">
      <c r="A10" s="103" t="s">
        <v>135</v>
      </c>
      <c r="B10" s="102" t="n">
        <v>30</v>
      </c>
      <c r="D10" s="104" t="s">
        <v>135</v>
      </c>
      <c r="E10" s="105" t="n">
        <v>30</v>
      </c>
    </row>
    <row r="11" customFormat="false" ht="14.25" hidden="false" customHeight="false" outlineLevel="0" collapsed="false">
      <c r="A11" s="103" t="s">
        <v>136</v>
      </c>
      <c r="B11" s="102" t="n">
        <v>250</v>
      </c>
      <c r="D11" s="104" t="s">
        <v>136</v>
      </c>
      <c r="E11" s="105" t="n">
        <v>250</v>
      </c>
    </row>
    <row r="12" customFormat="false" ht="14.25" hidden="false" customHeight="false" outlineLevel="0" collapsed="false">
      <c r="A12" s="103" t="s">
        <v>137</v>
      </c>
      <c r="B12" s="102" t="n">
        <v>17</v>
      </c>
      <c r="D12" s="104" t="s">
        <v>137</v>
      </c>
      <c r="E12" s="105" t="n">
        <v>25</v>
      </c>
    </row>
    <row r="13" customFormat="false" ht="14.25" hidden="false" customHeight="false" outlineLevel="0" collapsed="false">
      <c r="A13" s="106" t="s">
        <v>138</v>
      </c>
      <c r="B13" s="106" t="n">
        <v>50</v>
      </c>
      <c r="D13" s="107" t="s">
        <v>138</v>
      </c>
      <c r="E13" s="107" t="n">
        <v>50</v>
      </c>
    </row>
    <row r="14" customFormat="false" ht="14.25" hidden="false" customHeight="false" outlineLevel="0" collapsed="false">
      <c r="A14" s="106"/>
      <c r="B14" s="108"/>
      <c r="D14" s="107"/>
      <c r="E14" s="109"/>
    </row>
    <row r="15" customFormat="false" ht="14.25" hidden="false" customHeight="false" outlineLevel="0" collapsed="false">
      <c r="A15" s="110"/>
      <c r="B15" s="110"/>
      <c r="D15" s="111"/>
      <c r="E15" s="111"/>
    </row>
    <row r="16" customFormat="false" ht="17.25" hidden="false" customHeight="false" outlineLevel="0" collapsed="false">
      <c r="A16" s="112" t="s">
        <v>139</v>
      </c>
      <c r="B16" s="113" t="n">
        <f aca="false">SUM(B3:B14)</f>
        <v>643</v>
      </c>
      <c r="D16" s="114" t="s">
        <v>139</v>
      </c>
      <c r="E16" s="115" t="n">
        <f aca="false">SUM(E3:E14)</f>
        <v>501</v>
      </c>
    </row>
    <row r="17" customFormat="false" ht="14.25" hidden="false" customHeight="false" outlineLevel="0" collapsed="false">
      <c r="A17" s="110"/>
      <c r="B17" s="116"/>
      <c r="D17" s="111"/>
      <c r="E17" s="117"/>
    </row>
    <row r="18" customFormat="false" ht="19.7" hidden="false" customHeight="false" outlineLevel="0" collapsed="false">
      <c r="A18" s="118" t="s">
        <v>140</v>
      </c>
      <c r="B18" s="119" t="n">
        <v>300</v>
      </c>
      <c r="D18" s="120" t="s">
        <v>140</v>
      </c>
      <c r="E18" s="121" t="n">
        <v>60</v>
      </c>
    </row>
    <row r="19" customFormat="false" ht="14.25" hidden="false" customHeight="false" outlineLevel="0" collapsed="false">
      <c r="A19" s="21"/>
      <c r="B19" s="21"/>
      <c r="D19" s="96"/>
      <c r="E19" s="96"/>
    </row>
    <row r="20" customFormat="false" ht="14.25" hidden="false" customHeight="false" outlineLevel="0" collapsed="false">
      <c r="A20" s="21" t="s">
        <v>141</v>
      </c>
      <c r="B20" s="122" t="n">
        <f aca="false">B16/B18</f>
        <v>2.14333333333333</v>
      </c>
      <c r="D20" s="96" t="s">
        <v>141</v>
      </c>
      <c r="E20" s="123" t="n">
        <f aca="false">E16/E18</f>
        <v>8.35</v>
      </c>
    </row>
    <row r="21" customFormat="false" ht="14.25" hidden="false" customHeight="false" outlineLevel="0" collapsed="false">
      <c r="A21" s="21"/>
      <c r="B21" s="21"/>
      <c r="D21" s="96"/>
      <c r="E21" s="96"/>
    </row>
    <row r="22" customFormat="false" ht="14.25" hidden="false" customHeight="false" outlineLevel="0" collapsed="false">
      <c r="A22" s="124" t="s">
        <v>142</v>
      </c>
      <c r="B22" s="124" t="n">
        <v>3.25</v>
      </c>
      <c r="D22" s="125" t="s">
        <v>142</v>
      </c>
      <c r="E22" s="125" t="n">
        <v>8.5</v>
      </c>
    </row>
    <row r="23" customFormat="false" ht="14.25" hidden="false" customHeight="false" outlineLevel="0" collapsed="false">
      <c r="A23" s="124"/>
      <c r="B23" s="124"/>
      <c r="D23" s="125"/>
      <c r="E23" s="125"/>
    </row>
    <row r="24" customFormat="false" ht="14.25" hidden="false" customHeight="false" outlineLevel="0" collapsed="false">
      <c r="A24" s="124" t="s">
        <v>143</v>
      </c>
      <c r="B24" s="124" t="n">
        <f aca="false">B18*B22</f>
        <v>975</v>
      </c>
      <c r="D24" s="125" t="s">
        <v>143</v>
      </c>
      <c r="E24" s="125" t="n">
        <f aca="false">E18*E22</f>
        <v>510</v>
      </c>
    </row>
    <row r="25" customFormat="false" ht="14.25" hidden="false" customHeight="false" outlineLevel="0" collapsed="false">
      <c r="A25" s="124"/>
      <c r="B25" s="124"/>
      <c r="D25" s="125"/>
      <c r="E25" s="125"/>
    </row>
    <row r="26" customFormat="false" ht="14.25" hidden="false" customHeight="false" outlineLevel="0" collapsed="false">
      <c r="A26" s="124" t="s">
        <v>144</v>
      </c>
      <c r="B26" s="126" t="n">
        <f aca="false">B24-B16</f>
        <v>332</v>
      </c>
      <c r="D26" s="125" t="s">
        <v>144</v>
      </c>
      <c r="E26" s="127" t="n">
        <f aca="false">E24-E16</f>
        <v>9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2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16" activeCellId="0" sqref="E16"/>
    </sheetView>
  </sheetViews>
  <sheetFormatPr defaultColWidth="8.390625" defaultRowHeight="14.25" customHeight="true" zeroHeight="false" outlineLevelRow="0" outlineLevelCol="0"/>
  <cols>
    <col collapsed="false" customWidth="true" hidden="false" outlineLevel="0" max="1" min="1" style="0" width="36.54"/>
    <col collapsed="false" customWidth="true" hidden="false" outlineLevel="0" max="2" min="2" style="0" width="10.54"/>
  </cols>
  <sheetData>
    <row r="1" customFormat="false" ht="24.45" hidden="false" customHeight="false" outlineLevel="0" collapsed="false">
      <c r="A1" s="94" t="s">
        <v>145</v>
      </c>
      <c r="B1" s="21"/>
    </row>
    <row r="2" customFormat="false" ht="14.25" hidden="false" customHeight="false" outlineLevel="0" collapsed="false">
      <c r="A2" s="21"/>
      <c r="B2" s="21"/>
    </row>
    <row r="3" customFormat="false" ht="14.25" hidden="false" customHeight="false" outlineLevel="0" collapsed="false">
      <c r="A3" s="97" t="s">
        <v>129</v>
      </c>
      <c r="B3" s="98"/>
    </row>
    <row r="4" customFormat="false" ht="14.25" hidden="false" customHeight="false" outlineLevel="0" collapsed="false">
      <c r="A4" s="101"/>
      <c r="B4" s="102"/>
    </row>
    <row r="5" customFormat="false" ht="14.25" hidden="false" customHeight="false" outlineLevel="0" collapsed="false">
      <c r="A5" s="103" t="s">
        <v>146</v>
      </c>
      <c r="B5" s="102" t="n">
        <v>100</v>
      </c>
    </row>
    <row r="6" customFormat="false" ht="14.25" hidden="false" customHeight="false" outlineLevel="0" collapsed="false">
      <c r="A6" s="103"/>
      <c r="B6" s="102"/>
    </row>
    <row r="7" customFormat="false" ht="14.25" hidden="false" customHeight="false" outlineLevel="0" collapsed="false">
      <c r="A7" s="103"/>
      <c r="B7" s="102"/>
    </row>
    <row r="8" customFormat="false" ht="14.25" hidden="false" customHeight="false" outlineLevel="0" collapsed="false">
      <c r="A8" s="103"/>
      <c r="B8" s="102"/>
    </row>
    <row r="9" customFormat="false" ht="14.25" hidden="false" customHeight="false" outlineLevel="0" collapsed="false">
      <c r="A9" s="103" t="s">
        <v>95</v>
      </c>
      <c r="B9" s="102" t="n">
        <v>50</v>
      </c>
    </row>
    <row r="10" customFormat="false" ht="14.25" hidden="false" customHeight="false" outlineLevel="0" collapsed="false">
      <c r="A10" s="103" t="s">
        <v>136</v>
      </c>
      <c r="B10" s="102" t="n">
        <v>250</v>
      </c>
    </row>
    <row r="11" customFormat="false" ht="14.25" hidden="false" customHeight="false" outlineLevel="0" collapsed="false">
      <c r="A11" s="103" t="s">
        <v>137</v>
      </c>
      <c r="B11" s="102"/>
    </row>
    <row r="12" customFormat="false" ht="14.25" hidden="false" customHeight="false" outlineLevel="0" collapsed="false">
      <c r="A12" s="106" t="s">
        <v>138</v>
      </c>
      <c r="B12" s="106" t="n">
        <v>50</v>
      </c>
    </row>
    <row r="13" customFormat="false" ht="14.25" hidden="false" customHeight="false" outlineLevel="0" collapsed="false">
      <c r="A13" s="106"/>
      <c r="B13" s="108"/>
    </row>
    <row r="14" customFormat="false" ht="14.25" hidden="false" customHeight="false" outlineLevel="0" collapsed="false">
      <c r="A14" s="110"/>
      <c r="B14" s="110"/>
    </row>
    <row r="15" customFormat="false" ht="17.25" hidden="false" customHeight="false" outlineLevel="0" collapsed="false">
      <c r="A15" s="112" t="s">
        <v>139</v>
      </c>
      <c r="B15" s="113" t="n">
        <f aca="false">SUM(B3:B13)</f>
        <v>450</v>
      </c>
    </row>
    <row r="16" customFormat="false" ht="14.25" hidden="false" customHeight="false" outlineLevel="0" collapsed="false">
      <c r="A16" s="110"/>
      <c r="B16" s="116"/>
    </row>
    <row r="17" customFormat="false" ht="19.7" hidden="false" customHeight="false" outlineLevel="0" collapsed="false">
      <c r="A17" s="118" t="s">
        <v>147</v>
      </c>
      <c r="B17" s="119" t="n">
        <v>3</v>
      </c>
    </row>
    <row r="18" customFormat="false" ht="14.25" hidden="false" customHeight="false" outlineLevel="0" collapsed="false">
      <c r="A18" s="21"/>
      <c r="B18" s="21"/>
    </row>
    <row r="19" customFormat="false" ht="14.25" hidden="false" customHeight="false" outlineLevel="0" collapsed="false">
      <c r="A19" s="21" t="s">
        <v>141</v>
      </c>
      <c r="B19" s="122" t="n">
        <f aca="false">B15/B17</f>
        <v>150</v>
      </c>
    </row>
    <row r="20" customFormat="false" ht="14.25" hidden="false" customHeight="false" outlineLevel="0" collapsed="false">
      <c r="A20" s="21"/>
      <c r="B20" s="21"/>
    </row>
    <row r="21" customFormat="false" ht="14.25" hidden="false" customHeight="false" outlineLevel="0" collapsed="false">
      <c r="A21" s="124" t="s">
        <v>148</v>
      </c>
      <c r="B21" s="124" t="n">
        <v>200</v>
      </c>
    </row>
    <row r="22" customFormat="false" ht="14.25" hidden="false" customHeight="false" outlineLevel="0" collapsed="false">
      <c r="A22" s="124"/>
      <c r="B22" s="124"/>
    </row>
    <row r="23" customFormat="false" ht="14.25" hidden="false" customHeight="false" outlineLevel="0" collapsed="false">
      <c r="A23" s="124" t="s">
        <v>143</v>
      </c>
      <c r="B23" s="124" t="n">
        <f aca="false">B17*B21</f>
        <v>600</v>
      </c>
    </row>
    <row r="24" customFormat="false" ht="14.25" hidden="false" customHeight="false" outlineLevel="0" collapsed="false">
      <c r="A24" s="124"/>
      <c r="B24" s="124"/>
    </row>
    <row r="25" customFormat="false" ht="14.25" hidden="false" customHeight="false" outlineLevel="0" collapsed="false">
      <c r="A25" s="124" t="s">
        <v>144</v>
      </c>
      <c r="B25" s="126" t="n">
        <f aca="false">B23-B15</f>
        <v>150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M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I30" activeCellId="0" sqref="I30"/>
    </sheetView>
  </sheetViews>
  <sheetFormatPr defaultColWidth="8.390625" defaultRowHeight="14.25" customHeight="true" zeroHeight="false" outlineLevelRow="0" outlineLevelCol="0"/>
  <cols>
    <col collapsed="false" customWidth="true" hidden="false" outlineLevel="0" max="1" min="1" style="0" width="3.63"/>
    <col collapsed="false" customWidth="true" hidden="false" outlineLevel="0" max="2" min="2" style="0" width="6.09"/>
    <col collapsed="false" customWidth="true" hidden="false" outlineLevel="0" max="3" min="3" style="0" width="22.09"/>
    <col collapsed="false" customWidth="true" hidden="false" outlineLevel="0" max="4" min="4" style="0" width="12.45"/>
    <col collapsed="false" customWidth="true" hidden="false" outlineLevel="0" max="5" min="5" style="0" width="12.63"/>
    <col collapsed="false" customWidth="true" hidden="false" outlineLevel="0" max="6" min="6" style="0" width="10.09"/>
    <col collapsed="false" customWidth="true" hidden="false" outlineLevel="0" max="9" min="9" style="0" width="28"/>
    <col collapsed="false" customWidth="true" hidden="false" outlineLevel="0" max="10" min="10" style="0" width="11.09"/>
    <col collapsed="false" customWidth="true" hidden="false" outlineLevel="0" max="13" min="13" style="0" width="10.54"/>
  </cols>
  <sheetData>
    <row r="1" customFormat="false" ht="14.25" hidden="false" customHeight="false" outlineLevel="0" collapsed="false">
      <c r="B1" s="0" t="n">
        <v>63</v>
      </c>
      <c r="C1" s="0" t="s">
        <v>149</v>
      </c>
      <c r="I1" s="0" t="s">
        <v>150</v>
      </c>
    </row>
    <row r="2" customFormat="false" ht="14.25" hidden="false" customHeight="false" outlineLevel="0" collapsed="false">
      <c r="B2" s="0" t="n">
        <v>21</v>
      </c>
      <c r="C2" s="0" t="s">
        <v>19</v>
      </c>
      <c r="G2" s="0" t="n">
        <v>200</v>
      </c>
      <c r="H2" s="0" t="s">
        <v>91</v>
      </c>
      <c r="I2" s="128" t="n">
        <v>20</v>
      </c>
      <c r="J2" s="128" t="n">
        <f aca="false">I2*G2</f>
        <v>4000</v>
      </c>
    </row>
    <row r="3" customFormat="false" ht="14.25" hidden="false" customHeight="false" outlineLevel="0" collapsed="false">
      <c r="B3" s="0" t="n">
        <v>21</v>
      </c>
      <c r="C3" s="0" t="s">
        <v>120</v>
      </c>
      <c r="G3" s="0" t="n">
        <v>10</v>
      </c>
      <c r="H3" s="0" t="s">
        <v>111</v>
      </c>
      <c r="I3" s="128" t="n">
        <v>500</v>
      </c>
      <c r="J3" s="128" t="n">
        <f aca="false">I3*G3</f>
        <v>5000</v>
      </c>
    </row>
    <row r="4" customFormat="false" ht="14.25" hidden="false" customHeight="false" outlineLevel="0" collapsed="false">
      <c r="B4" s="0" t="n">
        <v>21</v>
      </c>
      <c r="C4" s="0" t="s">
        <v>151</v>
      </c>
      <c r="G4" s="0" t="n">
        <v>10</v>
      </c>
      <c r="H4" s="0" t="s">
        <v>114</v>
      </c>
      <c r="I4" s="128" t="n">
        <v>375</v>
      </c>
      <c r="J4" s="128" t="n">
        <f aca="false">I4*G4</f>
        <v>3750</v>
      </c>
    </row>
    <row r="5" customFormat="false" ht="14.25" hidden="false" customHeight="false" outlineLevel="0" collapsed="false">
      <c r="I5" s="129" t="s">
        <v>152</v>
      </c>
      <c r="J5" s="128" t="n">
        <f aca="false">SUM(J2:J4)</f>
        <v>12750</v>
      </c>
    </row>
    <row r="6" customFormat="false" ht="14.25" hidden="false" customHeight="false" outlineLevel="0" collapsed="false">
      <c r="M6" s="130"/>
    </row>
    <row r="8" customFormat="false" ht="14.25" hidden="false" customHeight="false" outlineLevel="0" collapsed="false">
      <c r="C8" s="0" t="n">
        <v>730</v>
      </c>
      <c r="D8" s="0" t="s">
        <v>153</v>
      </c>
      <c r="I8" s="0" t="s">
        <v>95</v>
      </c>
      <c r="J8" s="128" t="n">
        <v>1250</v>
      </c>
    </row>
    <row r="9" customFormat="false" ht="14.25" hidden="false" customHeight="false" outlineLevel="0" collapsed="false">
      <c r="C9" s="0" t="n">
        <f aca="false">C8*20</f>
        <v>14600</v>
      </c>
      <c r="D9" s="0" t="s">
        <v>154</v>
      </c>
      <c r="I9" s="0" t="s">
        <v>155</v>
      </c>
      <c r="J9" s="128" t="n">
        <v>2575</v>
      </c>
      <c r="M9" s="130"/>
    </row>
    <row r="10" customFormat="false" ht="14.25" hidden="false" customHeight="false" outlineLevel="0" collapsed="false">
      <c r="C10" s="0" t="n">
        <f aca="false">C9/43560</f>
        <v>0.335169880624426</v>
      </c>
      <c r="D10" s="0" t="s">
        <v>156</v>
      </c>
      <c r="I10" s="0" t="s">
        <v>157</v>
      </c>
      <c r="J10" s="128" t="n">
        <v>1500</v>
      </c>
    </row>
    <row r="11" customFormat="false" ht="14.25" hidden="false" customHeight="false" outlineLevel="0" collapsed="false">
      <c r="C11" s="0" t="n">
        <f aca="false">C10*3</f>
        <v>1.00550964187328</v>
      </c>
      <c r="D11" s="0" t="s">
        <v>156</v>
      </c>
      <c r="J11" s="128"/>
    </row>
    <row r="12" customFormat="false" ht="14.25" hidden="false" customHeight="false" outlineLevel="0" collapsed="false">
      <c r="I12" s="0" t="s">
        <v>158</v>
      </c>
      <c r="J12" s="128" t="n">
        <v>65</v>
      </c>
    </row>
    <row r="13" customFormat="false" ht="14.25" hidden="false" customHeight="false" outlineLevel="0" collapsed="false">
      <c r="C13" s="0" t="s">
        <v>159</v>
      </c>
      <c r="D13" s="131" t="n">
        <f aca="false">B4*C11</f>
        <v>21.1157024793388</v>
      </c>
      <c r="E13" s="0" t="s">
        <v>30</v>
      </c>
      <c r="I13" s="0" t="s">
        <v>88</v>
      </c>
      <c r="J13" s="128" t="n">
        <v>600</v>
      </c>
    </row>
    <row r="14" customFormat="false" ht="14.25" hidden="false" customHeight="false" outlineLevel="0" collapsed="false">
      <c r="C14" s="0" t="s">
        <v>19</v>
      </c>
      <c r="D14" s="131" t="n">
        <f aca="false">B2*C11</f>
        <v>21.1157024793388</v>
      </c>
      <c r="E14" s="0" t="s">
        <v>30</v>
      </c>
      <c r="I14" s="0" t="s">
        <v>160</v>
      </c>
      <c r="J14" s="128" t="n">
        <v>2350</v>
      </c>
    </row>
    <row r="15" customFormat="false" ht="14.25" hidden="false" customHeight="false" outlineLevel="0" collapsed="false">
      <c r="C15" s="0" t="s">
        <v>161</v>
      </c>
      <c r="D15" s="131" t="n">
        <f aca="false">C11*B3</f>
        <v>21.1157024793388</v>
      </c>
      <c r="E15" s="0" t="s">
        <v>30</v>
      </c>
      <c r="I15" s="0" t="s">
        <v>162</v>
      </c>
      <c r="J15" s="128" t="n">
        <v>250</v>
      </c>
    </row>
    <row r="16" customFormat="false" ht="14.25" hidden="false" customHeight="false" outlineLevel="0" collapsed="false">
      <c r="C16" s="0" t="s">
        <v>163</v>
      </c>
      <c r="D16" s="131" t="n">
        <f aca="false">D13/3</f>
        <v>7.03856749311295</v>
      </c>
      <c r="E16" s="0" t="s">
        <v>30</v>
      </c>
      <c r="J16" s="128"/>
    </row>
    <row r="17" customFormat="false" ht="14.25" hidden="false" customHeight="false" outlineLevel="0" collapsed="false">
      <c r="C17" s="0" t="s">
        <v>164</v>
      </c>
      <c r="D17" s="131" t="n">
        <f aca="false">D13/3</f>
        <v>7.03856749311295</v>
      </c>
      <c r="E17" s="0" t="s">
        <v>30</v>
      </c>
      <c r="J17" s="128"/>
    </row>
    <row r="18" customFormat="false" ht="14.25" hidden="false" customHeight="false" outlineLevel="0" collapsed="false">
      <c r="C18" s="0" t="s">
        <v>165</v>
      </c>
      <c r="D18" s="131" t="n">
        <f aca="false">D13/3</f>
        <v>7.03856749311295</v>
      </c>
      <c r="E18" s="0" t="s">
        <v>30</v>
      </c>
      <c r="I18" s="0" t="s">
        <v>166</v>
      </c>
      <c r="J18" s="128" t="n">
        <f aca="false">SUM(J8:J17)</f>
        <v>8590</v>
      </c>
    </row>
    <row r="19" customFormat="false" ht="14.25" hidden="false" customHeight="false" outlineLevel="0" collapsed="false">
      <c r="C19" s="0" t="s">
        <v>167</v>
      </c>
      <c r="D19" s="131" t="n">
        <v>17</v>
      </c>
      <c r="E19" s="0" t="s">
        <v>30</v>
      </c>
    </row>
    <row r="21" customFormat="false" ht="14.25" hidden="false" customHeight="false" outlineLevel="0" collapsed="false">
      <c r="C21" s="26" t="s">
        <v>168</v>
      </c>
      <c r="D21" s="26" t="s">
        <v>169</v>
      </c>
      <c r="I21" s="26" t="s">
        <v>129</v>
      </c>
    </row>
    <row r="22" customFormat="false" ht="14.25" hidden="false" customHeight="false" outlineLevel="0" collapsed="false">
      <c r="C22" s="0" t="s">
        <v>19</v>
      </c>
      <c r="D22" s="128" t="n">
        <f aca="false">D14*290*3.6</f>
        <v>22044.7933884298</v>
      </c>
      <c r="I22" s="0" t="s">
        <v>170</v>
      </c>
      <c r="J22" s="128" t="n">
        <f aca="false">78*250</f>
        <v>19500</v>
      </c>
    </row>
    <row r="23" customFormat="false" ht="14.25" hidden="false" customHeight="false" outlineLevel="0" collapsed="false">
      <c r="C23" s="0" t="s">
        <v>120</v>
      </c>
      <c r="D23" s="128" t="n">
        <f aca="false">D15*75*9</f>
        <v>14253.0991735537</v>
      </c>
      <c r="I23" s="0" t="s">
        <v>171</v>
      </c>
      <c r="J23" s="128" t="n">
        <f aca="false">J18*B4</f>
        <v>180390</v>
      </c>
    </row>
    <row r="24" customFormat="false" ht="14.25" hidden="false" customHeight="false" outlineLevel="0" collapsed="false">
      <c r="C24" s="0" t="s">
        <v>155</v>
      </c>
      <c r="D24" s="128" t="n">
        <f aca="false">J5*B4</f>
        <v>267750</v>
      </c>
      <c r="I24" s="0" t="s">
        <v>19</v>
      </c>
      <c r="J24" s="128" t="n">
        <f aca="false">D14*325</f>
        <v>6862.60330578512</v>
      </c>
    </row>
    <row r="25" customFormat="false" ht="14.25" hidden="false" customHeight="false" outlineLevel="0" collapsed="false">
      <c r="C25" s="0" t="s">
        <v>163</v>
      </c>
      <c r="D25" s="128" t="n">
        <f aca="false">D16*115*3</f>
        <v>2428.30578512397</v>
      </c>
      <c r="I25" s="0" t="s">
        <v>120</v>
      </c>
      <c r="J25" s="128" t="n">
        <f aca="false">D15*200</f>
        <v>4223.14049586777</v>
      </c>
    </row>
    <row r="26" customFormat="false" ht="14.25" hidden="false" customHeight="false" outlineLevel="0" collapsed="false">
      <c r="C26" s="0" t="s">
        <v>164</v>
      </c>
      <c r="D26" s="128" t="n">
        <f aca="false">D17*150*4</f>
        <v>4223.14049586777</v>
      </c>
      <c r="I26" s="0" t="s">
        <v>163</v>
      </c>
      <c r="J26" s="128" t="n">
        <f aca="false">D16*118</f>
        <v>830.550964187328</v>
      </c>
    </row>
    <row r="27" customFormat="false" ht="14.25" hidden="false" customHeight="false" outlineLevel="0" collapsed="false">
      <c r="C27" s="0" t="s">
        <v>165</v>
      </c>
      <c r="D27" s="128" t="n">
        <f aca="false">D18*200</f>
        <v>1407.71349862259</v>
      </c>
      <c r="I27" s="0" t="s">
        <v>164</v>
      </c>
      <c r="J27" s="128" t="n">
        <f aca="false">D17*118</f>
        <v>830.550964187328</v>
      </c>
    </row>
    <row r="28" customFormat="false" ht="14.25" hidden="false" customHeight="false" outlineLevel="0" collapsed="false">
      <c r="C28" s="0" t="s">
        <v>172</v>
      </c>
      <c r="D28" s="128" t="n">
        <f aca="false">D19*200</f>
        <v>3400</v>
      </c>
      <c r="I28" s="0" t="s">
        <v>165</v>
      </c>
      <c r="J28" s="128" t="n">
        <f aca="false">D18*100</f>
        <v>703.856749311295</v>
      </c>
    </row>
    <row r="29" customFormat="false" ht="14.25" hidden="false" customHeight="false" outlineLevel="0" collapsed="false">
      <c r="D29" s="128" t="n">
        <f aca="false">SUM(D22:D28)</f>
        <v>315507.052341598</v>
      </c>
      <c r="I29" s="0" t="s">
        <v>167</v>
      </c>
      <c r="J29" s="128" t="n">
        <f aca="false">D19*100</f>
        <v>1700</v>
      </c>
    </row>
    <row r="30" customFormat="false" ht="14.25" hidden="false" customHeight="false" outlineLevel="0" collapsed="false">
      <c r="J30" s="128" t="n">
        <f aca="false">SUM(J22:J28)</f>
        <v>213340.702479339</v>
      </c>
    </row>
    <row r="31" customFormat="false" ht="14.25" hidden="false" customHeight="false" outlineLevel="0" collapsed="false">
      <c r="E31" s="0" t="s">
        <v>173</v>
      </c>
      <c r="F31" s="128" t="n">
        <f aca="false">D29-J30</f>
        <v>102166.349862259</v>
      </c>
    </row>
    <row r="32" customFormat="false" ht="14.25" hidden="false" customHeight="false" outlineLevel="0" collapsed="false">
      <c r="E32" s="0" t="s">
        <v>174</v>
      </c>
      <c r="F32" s="128" t="n">
        <f aca="false">F31/78</f>
        <v>1309.82499823409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LibreOffice/25.2.4.3$Windows_X86_64 LibreOffice_project/33e196637044ead23f5c3226cde09b47731f7e27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2020-07-01T15:01:42Z</dcterms:created>
  <dc:creator>B &amp; D Metal Works</dc:creator>
  <dc:description/>
  <dc:language>en-US</dc:language>
  <cp:lastModifiedBy>Zack Smith</cp:lastModifiedBy>
  <dcterms:modified xsi:type="dcterms:W3CDTF">2022-12-07T15:52:20Z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